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20" tabRatio="826" activeTab="2"/>
  </bookViews>
  <sheets>
    <sheet name="Synthèse" sheetId="1" r:id="rId1"/>
    <sheet name="Calcul RW" sheetId="2" r:id="rId2"/>
    <sheet name="Données RW" sheetId="3" r:id="rId3"/>
  </sheets>
  <externalReferences>
    <externalReference r:id="rId6"/>
  </externalReferences>
  <definedNames>
    <definedName name="_xlnm.Print_Area" localSheetId="0">'Synthèse'!$C$1:$I$18</definedName>
    <definedName name="Rdt_blé">#REF!</definedName>
  </definedNames>
  <calcPr fullCalcOnLoad="1"/>
</workbook>
</file>

<file path=xl/comments3.xml><?xml version="1.0" encoding="utf-8"?>
<comments xmlns="http://schemas.openxmlformats.org/spreadsheetml/2006/main">
  <authors>
    <author>stagiaire</author>
    <author>campenve</author>
    <author>GUNS</author>
    <author>kretsbe</author>
  </authors>
  <commentList>
    <comment ref="A43" authorId="0">
      <text>
        <r>
          <rPr>
            <b/>
            <sz val="8"/>
            <rFont val="Tahoma"/>
            <family val="2"/>
          </rPr>
          <t>stagiaire:</t>
        </r>
        <r>
          <rPr>
            <sz val="8"/>
            <rFont val="Tahoma"/>
            <family val="2"/>
          </rPr>
          <t xml:space="preserve">
La valeur retenue pour les produits phytosanitaires est la somme des matières actives répandues par hectare pour les herbicides, fongicides, insecticides et autres.</t>
        </r>
      </text>
    </comment>
    <comment ref="O12" authorId="1">
      <text>
        <r>
          <rPr>
            <b/>
            <sz val="8"/>
            <rFont val="Tahoma"/>
            <family val="2"/>
          </rPr>
          <t>campenve:</t>
        </r>
        <r>
          <rPr>
            <sz val="8"/>
            <rFont val="Tahoma"/>
            <family val="2"/>
          </rPr>
          <t xml:space="preserve">
moist corn</t>
        </r>
      </text>
    </comment>
    <comment ref="A20" authorId="1">
      <text>
        <r>
          <rPr>
            <b/>
            <sz val="8"/>
            <rFont val="Tahoma"/>
            <family val="2"/>
          </rPr>
          <t>campenve:</t>
        </r>
        <r>
          <rPr>
            <sz val="8"/>
            <rFont val="Tahoma"/>
            <family val="2"/>
          </rPr>
          <t xml:space="preserve">
 + loonwerk</t>
        </r>
      </text>
    </comment>
    <comment ref="A22" authorId="2">
      <text>
        <r>
          <rPr>
            <b/>
            <sz val="10"/>
            <rFont val="Tahoma"/>
            <family val="2"/>
          </rPr>
          <t>GUNS:</t>
        </r>
        <r>
          <rPr>
            <sz val="10"/>
            <rFont val="Tahoma"/>
            <family val="2"/>
          </rPr>
          <t xml:space="preserve">
source valbiom etat biocarb Belgique 2007 </t>
        </r>
      </text>
    </comment>
    <comment ref="A53" authorId="2">
      <text>
        <r>
          <rPr>
            <b/>
            <sz val="10"/>
            <rFont val="Tahoma"/>
            <family val="2"/>
          </rPr>
          <t>GUNS:</t>
        </r>
        <r>
          <rPr>
            <sz val="10"/>
            <rFont val="Tahoma"/>
            <family val="2"/>
          </rPr>
          <t xml:space="preserve">
essai JRC</t>
        </r>
      </text>
    </comment>
    <comment ref="C21" authorId="2">
      <text>
        <r>
          <rPr>
            <b/>
            <sz val="10"/>
            <rFont val="Tahoma"/>
            <family val="2"/>
          </rPr>
          <t>GUNS:</t>
        </r>
        <r>
          <rPr>
            <sz val="10"/>
            <rFont val="Tahoma"/>
            <family val="2"/>
          </rPr>
          <t xml:space="preserve">
valbiom, valeur max </t>
        </r>
      </text>
    </comment>
    <comment ref="C17" authorId="1">
      <text>
        <r>
          <rPr>
            <b/>
            <sz val="8"/>
            <rFont val="Tahoma"/>
            <family val="2"/>
          </rPr>
          <t>campenve:</t>
        </r>
        <r>
          <rPr>
            <sz val="8"/>
            <rFont val="Tahoma"/>
            <family val="2"/>
          </rPr>
          <t xml:space="preserve">
DDGS</t>
        </r>
      </text>
    </comment>
    <comment ref="I17" authorId="1">
      <text>
        <r>
          <rPr>
            <b/>
            <sz val="8"/>
            <rFont val="Tahoma"/>
            <family val="2"/>
          </rPr>
          <t>campenve:</t>
        </r>
        <r>
          <rPr>
            <sz val="8"/>
            <rFont val="Tahoma"/>
            <family val="2"/>
          </rPr>
          <t xml:space="preserve">
pulpes</t>
        </r>
      </text>
    </comment>
    <comment ref="O17" authorId="1">
      <text>
        <r>
          <rPr>
            <b/>
            <sz val="8"/>
            <rFont val="Tahoma"/>
            <family val="2"/>
          </rPr>
          <t>campenve:</t>
        </r>
        <r>
          <rPr>
            <sz val="8"/>
            <rFont val="Tahoma"/>
            <family val="2"/>
          </rPr>
          <t xml:space="preserve">
DDGS</t>
        </r>
      </text>
    </comment>
    <comment ref="B25" authorId="0">
      <text>
        <r>
          <rPr>
            <b/>
            <sz val="8"/>
            <rFont val="Tahoma"/>
            <family val="2"/>
          </rPr>
          <t>stagiaire:</t>
        </r>
        <r>
          <rPr>
            <sz val="8"/>
            <rFont val="Tahoma"/>
            <family val="2"/>
          </rPr>
          <t xml:space="preserve">
MJfossile/MJdiesel</t>
        </r>
      </text>
    </comment>
    <comment ref="C80" authorId="3">
      <text>
        <r>
          <rPr>
            <b/>
            <sz val="8"/>
            <rFont val="Tahoma"/>
            <family val="0"/>
          </rPr>
          <t>kretsbe:</t>
        </r>
        <r>
          <rPr>
            <sz val="8"/>
            <rFont val="Tahoma"/>
            <family val="0"/>
          </rPr>
          <t xml:space="preserve">
109,3 taken from Updated figures communicated….xls</t>
        </r>
      </text>
    </comment>
    <comment ref="O80" authorId="3">
      <text>
        <r>
          <rPr>
            <b/>
            <sz val="8"/>
            <rFont val="Tahoma"/>
            <family val="0"/>
          </rPr>
          <t>kretsbe:</t>
        </r>
        <r>
          <rPr>
            <sz val="8"/>
            <rFont val="Tahoma"/>
            <family val="0"/>
          </rPr>
          <t xml:space="preserve">
value for corn cultivation Romania</t>
        </r>
      </text>
    </comment>
  </commentList>
</comments>
</file>

<file path=xl/sharedStrings.xml><?xml version="1.0" encoding="utf-8"?>
<sst xmlns="http://schemas.openxmlformats.org/spreadsheetml/2006/main" count="318" uniqueCount="170">
  <si>
    <t>Diesel</t>
  </si>
  <si>
    <t>densité</t>
  </si>
  <si>
    <t>MJ/kg</t>
  </si>
  <si>
    <t>MJ/l</t>
  </si>
  <si>
    <t>l/ha</t>
  </si>
  <si>
    <t>gCO2/MJ</t>
  </si>
  <si>
    <t>gCO2/l</t>
  </si>
  <si>
    <t>gCO2/ha</t>
  </si>
  <si>
    <t>MJf/ha</t>
  </si>
  <si>
    <t>N2O</t>
  </si>
  <si>
    <t>N2O émissions</t>
  </si>
  <si>
    <t>N Minéral</t>
  </si>
  <si>
    <t>kgN/ha</t>
  </si>
  <si>
    <t>MJf/kg</t>
  </si>
  <si>
    <t>Potasse</t>
  </si>
  <si>
    <t>Phosphate</t>
  </si>
  <si>
    <t>kgP2O5/ha</t>
  </si>
  <si>
    <t>Divers Phyto</t>
  </si>
  <si>
    <t>gN2O/ha</t>
  </si>
  <si>
    <t>gCO2/gN2O</t>
  </si>
  <si>
    <t>TOTAL</t>
  </si>
  <si>
    <t>%H2O</t>
  </si>
  <si>
    <t>Densité Diesel</t>
  </si>
  <si>
    <t>PCI Diesel</t>
  </si>
  <si>
    <t>Emissions GES</t>
  </si>
  <si>
    <t>Emissions Energie Fossile (EF)</t>
  </si>
  <si>
    <t>MJf/MJdiesel</t>
  </si>
  <si>
    <t>gCO2/kgN</t>
  </si>
  <si>
    <t>gCO2/kgK2O</t>
  </si>
  <si>
    <t>MJf/kgK2O</t>
  </si>
  <si>
    <t>MJf/kgN</t>
  </si>
  <si>
    <t>MJf/kgP2O5</t>
  </si>
  <si>
    <t>kgK2O/ha</t>
  </si>
  <si>
    <t>gCO2/kgP2O5</t>
  </si>
  <si>
    <t>MJdiesel/ha</t>
  </si>
  <si>
    <t>kgphyto/ha</t>
  </si>
  <si>
    <t>gCO2/kgphyto</t>
  </si>
  <si>
    <t>Emissions N2O</t>
  </si>
  <si>
    <t>Pouv de Réchauffement Global (PRG)</t>
  </si>
  <si>
    <t>Production</t>
  </si>
  <si>
    <t>gCO2/MJtot</t>
  </si>
  <si>
    <t>gCO2eq/ha</t>
  </si>
  <si>
    <t>kg/(ha*yr)</t>
  </si>
  <si>
    <t>kg N/(ha*yr)</t>
  </si>
  <si>
    <t>gCO2eq/kg</t>
  </si>
  <si>
    <t>Source</t>
  </si>
  <si>
    <t>gCO2/Mjethanol</t>
  </si>
  <si>
    <t>Semences</t>
  </si>
  <si>
    <t>gCO2/kgsemence</t>
  </si>
  <si>
    <t>kgsemence/ha</t>
  </si>
  <si>
    <t>Consommation Diesel</t>
  </si>
  <si>
    <t>N engrais</t>
  </si>
  <si>
    <t>K2O engrais</t>
  </si>
  <si>
    <t>P2O5 engrais</t>
  </si>
  <si>
    <t>Divers phytos</t>
  </si>
  <si>
    <t>[methode JRC 14/11/2008]</t>
  </si>
  <si>
    <t>%</t>
  </si>
  <si>
    <t>CULTURE</t>
  </si>
  <si>
    <t>Rendement</t>
  </si>
  <si>
    <t>BIOCARBURANT</t>
  </si>
  <si>
    <t>DIESEL</t>
  </si>
  <si>
    <t>AZOTE (N)</t>
  </si>
  <si>
    <t>POTASIUM (K2O)</t>
  </si>
  <si>
    <t>PHOSPHATES (P2O5)</t>
  </si>
  <si>
    <t>DIVERS PHYTO</t>
  </si>
  <si>
    <t>SEMENCES</t>
  </si>
  <si>
    <t>SECHAGE</t>
  </si>
  <si>
    <t>Unité</t>
  </si>
  <si>
    <t>Betteraves sucrières</t>
  </si>
  <si>
    <t>MJ/kg biocarb</t>
  </si>
  <si>
    <t>DONNEES</t>
  </si>
  <si>
    <t>PCI biocarburant</t>
  </si>
  <si>
    <t>Production co-produit</t>
  </si>
  <si>
    <t>PCI co-produit</t>
  </si>
  <si>
    <t>PCI culture sec</t>
  </si>
  <si>
    <t>H2O contient reel</t>
  </si>
  <si>
    <t>Directive 2009/28 Annexe III</t>
  </si>
  <si>
    <t>Directive 2009/28 Annexe V</t>
  </si>
  <si>
    <t xml:space="preserve">gCO2eq/kg </t>
  </si>
  <si>
    <t>gCO2eq/MJ</t>
  </si>
  <si>
    <t>MJf/MJ</t>
  </si>
  <si>
    <t xml:space="preserve">MJf/kg </t>
  </si>
  <si>
    <t>Blé (grain)</t>
  </si>
  <si>
    <t>VITO</t>
  </si>
  <si>
    <t>MJ/(kg culture)</t>
  </si>
  <si>
    <t>mais voor ethanol (korrel)</t>
  </si>
  <si>
    <t>Rendement (t/ha)</t>
  </si>
  <si>
    <t>Rendement sec (t/ha)</t>
  </si>
  <si>
    <t>Rendement sec (MJ/ha)</t>
  </si>
  <si>
    <t>Culture</t>
  </si>
  <si>
    <t>Colza pour biodiesel</t>
  </si>
  <si>
    <t>Colza pour PPO</t>
  </si>
  <si>
    <t>gN2O/Mj culture</t>
  </si>
  <si>
    <t>MJf/MJ culture sec</t>
  </si>
  <si>
    <t>NUTS 2</t>
  </si>
  <si>
    <t>Fehrenbach H. et al., 2007</t>
  </si>
  <si>
    <t>handleiding milieumodule  + VMM</t>
  </si>
  <si>
    <t>(gCO2/MJ etoh)</t>
  </si>
  <si>
    <t>NUTS2</t>
  </si>
  <si>
    <t>Région</t>
  </si>
  <si>
    <t>MJf/Mjcult sec</t>
  </si>
  <si>
    <t>gN2O/MJ cult sec</t>
  </si>
  <si>
    <t>LMN 2005-2008; pour colza: EXPERT gerry spelmans</t>
  </si>
  <si>
    <t>Limite Directive</t>
  </si>
  <si>
    <t>Brabant Wallon</t>
  </si>
  <si>
    <t>Hainaut</t>
  </si>
  <si>
    <t>Liege</t>
  </si>
  <si>
    <t>Luxembourg</t>
  </si>
  <si>
    <t xml:space="preserve">Namur </t>
  </si>
  <si>
    <t>RW</t>
  </si>
  <si>
    <t>2005-2007 Direction de l'Analyse Economique Agricole (DAEA-DGARNE)</t>
  </si>
  <si>
    <t>2008 Direction de l'Analyse Economique Agricole (DAEA-DGARNE)</t>
  </si>
  <si>
    <t>Résultats obtenus RW 03/2010</t>
  </si>
  <si>
    <t>Valbiom (colza)  http://www.valbiom.be/files/gallery/v_biocarburantenwallonie2eeditionjuillet20051236861072.pdf</t>
  </si>
  <si>
    <t xml:space="preserve">MJ/(kg coproduit) </t>
  </si>
  <si>
    <t>t culture sec/(t biocarburant)</t>
  </si>
  <si>
    <t>t coproduit/(t biocarburant)</t>
  </si>
  <si>
    <t xml:space="preserve">kg/l </t>
  </si>
  <si>
    <t xml:space="preserve">MJ/kg </t>
  </si>
  <si>
    <r>
      <t>kg K</t>
    </r>
    <r>
      <rPr>
        <vertAlign val="subscript"/>
        <sz val="10"/>
        <color indexed="8"/>
        <rFont val="Tahoma"/>
        <family val="2"/>
      </rPr>
      <t>2</t>
    </r>
    <r>
      <rPr>
        <sz val="10"/>
        <color indexed="8"/>
        <rFont val="Tahoma"/>
        <family val="2"/>
      </rPr>
      <t>O/(ha*yr)</t>
    </r>
  </si>
  <si>
    <r>
      <t>kg P</t>
    </r>
    <r>
      <rPr>
        <vertAlign val="subscript"/>
        <sz val="10"/>
        <color indexed="8"/>
        <rFont val="Tahoma"/>
        <family val="2"/>
      </rPr>
      <t>2</t>
    </r>
    <r>
      <rPr>
        <sz val="10"/>
        <color indexed="8"/>
        <rFont val="Tahoma"/>
        <family val="2"/>
      </rPr>
      <t>O</t>
    </r>
    <r>
      <rPr>
        <vertAlign val="subscript"/>
        <sz val="10"/>
        <color indexed="8"/>
        <rFont val="Tahoma"/>
        <family val="2"/>
      </rPr>
      <t>5</t>
    </r>
    <r>
      <rPr>
        <sz val="10"/>
        <color indexed="8"/>
        <rFont val="Tahoma"/>
        <family val="2"/>
      </rPr>
      <t>/(ha*yr)</t>
    </r>
  </si>
  <si>
    <t>Schrooten L., Jespers K., Baetens K., Van Exch L., Gijsbers M., Van Linden V., Demeyer P. (2009) OFFREM. Model voor emissies door niet voor de weg bestemde mobiele machines. Studie iov Dept. LNE, België.</t>
  </si>
  <si>
    <t>Govaerts L., Pelkmans L., Dooms G., Hamelinck C., Geurds M., De Vlieger I., Schrooten L., Ooms K., Timmermans V.(2006) Potentieelstudie biobrandstoffen in Vlaanderen, studie uitgevoerd in opdrachte van ANRE en ALT, VITO, Mol, België.</t>
  </si>
  <si>
    <t>Edwards, R. (2008) Calculation N2O emissions, 25 June 2008, JRC</t>
  </si>
  <si>
    <t>Globales Emissions-Modell Integrierter Systeme (GEMIS), version 4.3.0.0: http://www.oeko-institut.org/service/gemis/index.htm</t>
  </si>
  <si>
    <t>Fehrenbach H., Giegrich J., Gärtner S., Reinhardt G., Rettenmaier N. (2007) Greenhouse Gas Balances for the German Biofuels Quota Legislation, Methodological Guidance and Default Values. Prepared for the Federal Environment Agency Germany, Heidelberg, Germany.</t>
  </si>
  <si>
    <t>JEC (2007) R. Edwards et al., Well-to-Wheels analysis of future automotive fuels and powertrains in the European context , version 2c, EUCAR, CONCAWE and JRC, March 2007</t>
  </si>
  <si>
    <t>JEC (2009) R. Edwards et al., Well-to-Wheels analysis of future automotive fuels and powertrains in the European context , version 3, EUCAR, CONCAWE and JRC, November 2008</t>
  </si>
  <si>
    <t>29 OKTOBER 2004. — Ministerieel besluit tot uitvoering van het besluit van de Vlaamse Regering van 1 oktober 2004 tot toekenning van steun aan ondernemingen voor ecologie-investeringen in het Vlaamse Gewest</t>
  </si>
  <si>
    <t>Kaltschmitt, M.; Reinhardt, G., A. (1997) Nachwachsende Energieträger: Grundlagen, Verfahren, ökologische Bilanzierung; Vieweg, Deutchland; ISBN 3-528-06778-0 .</t>
  </si>
  <si>
    <t>Gangl, Chr.(2004) Ethanolerzeugung aus stärkehaltigen Rohstoffen für Treibstoffzwecke; Diplomarbeit an der Universität für Bodenkultur Wien; Department für Wirtschafts- und Sozialwissenschaften, Institut für Agrar- und Forstökonomie, Deutchland.</t>
  </si>
  <si>
    <t>Expert de l' "Instituut voor Landbouw- en visserijonderzoek" (ILVO), Merelbeke, België</t>
  </si>
  <si>
    <t>LandbouwMonitoringsNetwerk (databas for FADN), Department for agriculture and fisheries, Flanders</t>
  </si>
  <si>
    <t>gCO2/t culture sec</t>
  </si>
  <si>
    <t>MJ biocarburant/t culture sec</t>
  </si>
  <si>
    <t>MJ co-produit biocarburant/t culture sec</t>
  </si>
  <si>
    <t>MJ tot/t culture sec</t>
  </si>
  <si>
    <t>coef MJ/ha</t>
  </si>
  <si>
    <t>gCO2/MJ Directive</t>
  </si>
  <si>
    <t>MJf/MJ biocarburant</t>
  </si>
  <si>
    <t>MJf/MJ tot</t>
  </si>
  <si>
    <t>Calcul du bilan CO2 - cultivation (Méthode Commission Européenne base JRC)</t>
  </si>
  <si>
    <t xml:space="preserve"> 1:</t>
  </si>
  <si>
    <t xml:space="preserve"> 2: </t>
  </si>
  <si>
    <t xml:space="preserve"> 3: </t>
  </si>
  <si>
    <t xml:space="preserve"> 4:</t>
  </si>
  <si>
    <t xml:space="preserve"> 5: </t>
  </si>
  <si>
    <t xml:space="preserve"> 6:</t>
  </si>
  <si>
    <t xml:space="preserve"> 7:</t>
  </si>
  <si>
    <t xml:space="preserve"> 8:</t>
  </si>
  <si>
    <t xml:space="preserve"> 9:</t>
  </si>
  <si>
    <t xml:space="preserve">ILVO: </t>
  </si>
  <si>
    <t>LMN:</t>
  </si>
  <si>
    <t>References:</t>
  </si>
  <si>
    <t>Edwards, R. (2008) Calculation N2O emissions, 25 June 2008, JRC (blé, betteraves, colza); Globales Emissions-Modell Integrierter Systeme (GEMIS), version 4.3.0.0: http://www.oeko-institut.org/service/gemis/index.htm (mais)</t>
  </si>
  <si>
    <t xml:space="preserve"> BELGIUM’S GREENHOUSE GAS INVENTORY (1990-2008). Nationa Inventory Report , march 2010</t>
  </si>
  <si>
    <t xml:space="preserve"> (standard)</t>
  </si>
  <si>
    <t xml:space="preserve">Bilan énergétique Région wallone (Institut wallon, 2002), Valbiom (blé, in "Bilan environnemental et énergétique
de la culture du miscanthus, 2009 ", colza http://www.valbiom.be/files/gallery/v_biocarburantenwallonie2eeditionjuillet20051236861072.pdf </t>
  </si>
  <si>
    <t>Région wallonne</t>
  </si>
  <si>
    <t>JRC (Ble) / Valbiom (Colza)  http://www.valbiom.be/files/gallery/v_biocarburantenwallonie2eeditionjuillet20051236861072.pdf</t>
  </si>
  <si>
    <t>kg N2O/kg N</t>
  </si>
  <si>
    <t>IPCC EF1: kg N2O-N/kg N</t>
  </si>
  <si>
    <t>kg N2O-N/kg N</t>
  </si>
  <si>
    <t>range</t>
  </si>
  <si>
    <t>min</t>
  </si>
  <si>
    <t>max</t>
  </si>
  <si>
    <t>(gN2O/MJ)*(ha/kgN)</t>
  </si>
  <si>
    <r>
      <t>NEW</t>
    </r>
    <r>
      <rPr>
        <sz val="10"/>
        <rFont val="Tahoma"/>
        <family val="2"/>
      </rPr>
      <t xml:space="preserve"> gN2O/ha</t>
    </r>
  </si>
  <si>
    <t>diff</t>
  </si>
  <si>
    <t>diff to C76</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</si>
</sst>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0.0000"/>
    <numFmt numFmtId="169" formatCode="#,##0.0000"/>
    <numFmt numFmtId="170" formatCode="0.00000"/>
    <numFmt numFmtId="171" formatCode="&quot;Ja&quot;;&quot;Ja&quot;;&quot;Nee&quot;"/>
    <numFmt numFmtId="172" formatCode="&quot;Waar&quot;;&quot;Waar&quot;;&quot;Niet waar&quot;"/>
    <numFmt numFmtId="173" formatCode="&quot;Aan&quot;;&quot;Aan&quot;;&quot;Uit&quot;"/>
    <numFmt numFmtId="174" formatCode="[$€-2]\ #.##000_);[Red]\([$€-2]\ #.##000\)"/>
    <numFmt numFmtId="175" formatCode="_-* #,##0.0\ _€_-;\-* #,##0.0\ _€_-;_-* &quot;-&quot;??\ _€_-;_-@_-"/>
    <numFmt numFmtId="176" formatCode="_-* #,##0\ _€_-;\-* #,##0\ _€_-;_-* &quot;-&quot;??\ _€_-;_-@_-"/>
    <numFmt numFmtId="177" formatCode="_(&quot;$&quot;* #,##0.00_);_(&quot;$&quot;* \(#,##0.00\);_(&quot;$&quot;* &quot;-&quot;??_);_(@_)"/>
    <numFmt numFmtId="178" formatCode="0.0000000"/>
    <numFmt numFmtId="179" formatCode="0.000000"/>
    <numFmt numFmtId="180" formatCode="0.00000000"/>
    <numFmt numFmtId="181" formatCode="_-* #,##0.000\ _€_-;\-* #,##0.000\ _€_-;_-* &quot;-&quot;??\ _€_-;_-@_-"/>
    <numFmt numFmtId="182" formatCode="&quot;Vrai&quot;;&quot;Vrai&quot;;&quot;Faux&quot;"/>
    <numFmt numFmtId="183" formatCode="&quot;Actif&quot;;&quot;Actif&quot;;&quot;Inactif&quot;"/>
    <numFmt numFmtId="184" formatCode="[$€-2]\ #,##0.00_);[Red]\([$€-2]\ #,##0.00\)"/>
    <numFmt numFmtId="185" formatCode="_-* #,##0.000\ _€_-;\-* #,##0.000\ _€_-;_-* &quot;-&quot;???\ _€_-;_-@_-"/>
  </numFmts>
  <fonts count="42">
    <font>
      <sz val="10"/>
      <name val="Arial"/>
      <family val="0"/>
    </font>
    <font>
      <sz val="8"/>
      <name val="Arial"/>
      <family val="2"/>
    </font>
    <font>
      <sz val="8"/>
      <name val="Tahoma"/>
      <family val="2"/>
    </font>
    <font>
      <b/>
      <sz val="8"/>
      <name val="Tahoma"/>
      <family val="2"/>
    </font>
    <font>
      <b/>
      <sz val="10"/>
      <name val="Arial"/>
      <family val="2"/>
    </font>
    <font>
      <sz val="14"/>
      <name val="Arial"/>
      <family val="2"/>
    </font>
    <font>
      <u val="single"/>
      <sz val="10"/>
      <color indexed="12"/>
      <name val="Arial"/>
      <family val="2"/>
    </font>
    <font>
      <u val="single"/>
      <sz val="10"/>
      <color indexed="36"/>
      <name val="Arial"/>
      <family val="2"/>
    </font>
    <font>
      <b/>
      <sz val="10"/>
      <name val="Tahoma"/>
      <family val="2"/>
    </font>
    <font>
      <sz val="10"/>
      <name val="Tahoma"/>
      <family val="2"/>
    </font>
    <font>
      <b/>
      <sz val="14"/>
      <name val="Tahoma"/>
      <family val="2"/>
    </font>
    <font>
      <sz val="14"/>
      <name val="Tahoma"/>
      <family val="2"/>
    </font>
    <font>
      <sz val="10"/>
      <color indexed="10"/>
      <name val="Tahoma"/>
      <family val="2"/>
    </font>
    <font>
      <sz val="10"/>
      <color indexed="57"/>
      <name val="Tahoma"/>
      <family val="2"/>
    </font>
    <font>
      <sz val="7.5"/>
      <color indexed="10"/>
      <name val="Verdana"/>
      <family val="2"/>
    </font>
    <font>
      <sz val="10"/>
      <color indexed="8"/>
      <name val="Tahoma"/>
      <family val="2"/>
    </font>
    <font>
      <b/>
      <sz val="12"/>
      <color indexed="48"/>
      <name val="Tahoma"/>
      <family val="2"/>
    </font>
    <font>
      <sz val="12"/>
      <color indexed="48"/>
      <name val="Tahoma"/>
      <family val="2"/>
    </font>
    <font>
      <b/>
      <sz val="10"/>
      <color indexed="8"/>
      <name val="Tahoma"/>
      <family val="2"/>
    </font>
    <font>
      <vertAlign val="subscript"/>
      <sz val="10"/>
      <color indexed="8"/>
      <name val="Tahoma"/>
      <family val="2"/>
    </font>
    <font>
      <sz val="10"/>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23"/>
      <name val="Tahoma"/>
      <family val="2"/>
    </font>
    <font>
      <sz val="10"/>
      <color indexed="23"/>
      <name val="Tahoma"/>
      <family val="2"/>
    </font>
    <font>
      <b/>
      <sz val="10"/>
      <color indexed="10"/>
      <name val="Tahoma"/>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50"/>
        <bgColor indexed="64"/>
      </patternFill>
    </fill>
  </fills>
  <borders count="7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thin"/>
      <right style="medium"/>
      <top style="thin"/>
      <bottom style="medium"/>
    </border>
    <border>
      <left style="thin"/>
      <right style="medium"/>
      <top style="medium"/>
      <bottom style="medium"/>
    </border>
    <border>
      <left style="medium"/>
      <right style="thin"/>
      <top style="thin"/>
      <bottom style="thin"/>
    </border>
    <border>
      <left style="medium"/>
      <right style="thin"/>
      <top>
        <color indexed="63"/>
      </top>
      <bottom style="mediu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thin"/>
      <right style="thin"/>
      <top style="thin"/>
      <bottom style="thin"/>
    </border>
    <border>
      <left style="medium"/>
      <right style="thin"/>
      <top>
        <color indexed="63"/>
      </top>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medium"/>
      <right style="thin"/>
      <top style="medium"/>
      <bottom style="medium"/>
    </border>
    <border>
      <left style="thin"/>
      <right style="thin"/>
      <top style="medium"/>
      <bottom style="medium"/>
    </border>
    <border>
      <left>
        <color indexed="63"/>
      </left>
      <right style="thin"/>
      <top style="thin"/>
      <bottom style="thin"/>
    </border>
    <border>
      <left>
        <color indexed="63"/>
      </left>
      <right style="thin"/>
      <top>
        <color indexed="63"/>
      </top>
      <bottom>
        <color indexed="63"/>
      </bottom>
    </border>
    <border>
      <left>
        <color indexed="63"/>
      </left>
      <right style="thin"/>
      <top style="medium"/>
      <bottom style="thin"/>
    </border>
    <border>
      <left>
        <color indexed="63"/>
      </left>
      <right style="thin"/>
      <top style="thin"/>
      <bottom style="medium"/>
    </border>
    <border>
      <left>
        <color indexed="63"/>
      </left>
      <right style="thin"/>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style="thin"/>
      <bottom style="medium"/>
    </border>
    <border>
      <left style="medium"/>
      <right>
        <color indexed="63"/>
      </right>
      <top style="medium"/>
      <bottom style="medium"/>
    </border>
    <border>
      <left style="thin"/>
      <right>
        <color indexed="63"/>
      </right>
      <top>
        <color indexed="63"/>
      </top>
      <bottom>
        <color indexed="63"/>
      </bottom>
    </border>
    <border>
      <left style="thin"/>
      <right>
        <color indexed="63"/>
      </right>
      <top style="medium"/>
      <bottom style="thin"/>
    </border>
    <border>
      <left style="medium"/>
      <right>
        <color indexed="63"/>
      </right>
      <top style="medium"/>
      <bottom>
        <color indexed="63"/>
      </bottom>
    </border>
    <border>
      <left style="medium"/>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thin"/>
      <bottom>
        <color indexed="63"/>
      </bottom>
    </border>
    <border>
      <left style="medium"/>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style="thin"/>
      <bottom style="medium"/>
    </border>
    <border>
      <left>
        <color indexed="63"/>
      </left>
      <right style="thin"/>
      <top>
        <color indexed="63"/>
      </top>
      <bottom style="thin"/>
    </border>
    <border>
      <left>
        <color indexed="63"/>
      </left>
      <right style="medium"/>
      <top style="medium"/>
      <bottom style="thin"/>
    </border>
    <border>
      <left style="medium"/>
      <right>
        <color indexed="63"/>
      </right>
      <top>
        <color indexed="63"/>
      </top>
      <bottom style="thin"/>
    </border>
    <border>
      <left style="thin"/>
      <right>
        <color indexed="63"/>
      </right>
      <top>
        <color indexed="63"/>
      </top>
      <bottom style="thin"/>
    </border>
    <border>
      <left style="thin"/>
      <right>
        <color indexed="63"/>
      </right>
      <top style="medium"/>
      <bottom style="medium"/>
    </border>
    <border>
      <left>
        <color indexed="63"/>
      </left>
      <right style="medium"/>
      <top>
        <color indexed="63"/>
      </top>
      <bottom>
        <color indexed="63"/>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thin"/>
    </border>
    <border>
      <left>
        <color indexed="63"/>
      </left>
      <right>
        <color indexed="63"/>
      </right>
      <top style="medium"/>
      <bottom style="thin"/>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1" borderId="3"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7" borderId="1" applyNumberFormat="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27" fillId="3" borderId="0" applyNumberFormat="0" applyBorder="0" applyAlignment="0" applyProtection="0"/>
    <xf numFmtId="0" fontId="28" fillId="22" borderId="0" applyNumberFormat="0" applyBorder="0" applyAlignment="0" applyProtection="0"/>
    <xf numFmtId="9" fontId="0" fillId="0" borderId="0" applyFont="0" applyFill="0" applyBorder="0" applyAlignment="0" applyProtection="0"/>
    <xf numFmtId="0" fontId="29" fillId="4" borderId="0" applyNumberFormat="0" applyBorder="0" applyAlignment="0" applyProtection="0"/>
    <xf numFmtId="0" fontId="30" fillId="20"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cellStyleXfs>
  <cellXfs count="759">
    <xf numFmtId="0" fontId="0" fillId="0" borderId="0" xfId="0" applyAlignment="1">
      <alignment/>
    </xf>
    <xf numFmtId="0" fontId="0" fillId="24" borderId="0" xfId="0" applyFill="1" applyAlignment="1">
      <alignment/>
    </xf>
    <xf numFmtId="0" fontId="4" fillId="24" borderId="0" xfId="0" applyFont="1" applyFill="1" applyAlignment="1">
      <alignment/>
    </xf>
    <xf numFmtId="1" fontId="0" fillId="24" borderId="0" xfId="0" applyNumberFormat="1" applyFill="1" applyAlignment="1">
      <alignment/>
    </xf>
    <xf numFmtId="0" fontId="0" fillId="24" borderId="0" xfId="0" applyFill="1" applyBorder="1" applyAlignment="1">
      <alignment/>
    </xf>
    <xf numFmtId="0" fontId="9" fillId="0" borderId="0" xfId="0" applyFont="1" applyAlignment="1">
      <alignment/>
    </xf>
    <xf numFmtId="0" fontId="9" fillId="24" borderId="0" xfId="0" applyFont="1" applyFill="1" applyAlignment="1">
      <alignment/>
    </xf>
    <xf numFmtId="0" fontId="9" fillId="0" borderId="0" xfId="0" applyFont="1" applyAlignment="1">
      <alignment horizontal="center"/>
    </xf>
    <xf numFmtId="0" fontId="8" fillId="0" borderId="0" xfId="0" applyFont="1" applyAlignment="1">
      <alignment/>
    </xf>
    <xf numFmtId="0" fontId="9" fillId="0" borderId="0" xfId="0" applyFont="1" applyFill="1" applyBorder="1" applyAlignment="1">
      <alignment wrapText="1"/>
    </xf>
    <xf numFmtId="0" fontId="11" fillId="0" borderId="0" xfId="0" applyFont="1" applyAlignment="1">
      <alignment/>
    </xf>
    <xf numFmtId="0" fontId="9" fillId="25" borderId="0" xfId="0" applyFont="1" applyFill="1" applyAlignment="1">
      <alignment/>
    </xf>
    <xf numFmtId="0" fontId="12" fillId="0" borderId="0" xfId="0" applyFont="1" applyAlignment="1">
      <alignment/>
    </xf>
    <xf numFmtId="0" fontId="0" fillId="0" borderId="0" xfId="0" applyFill="1" applyAlignment="1">
      <alignment horizontal="right"/>
    </xf>
    <xf numFmtId="0" fontId="0" fillId="0" borderId="0" xfId="0" applyFill="1" applyAlignment="1">
      <alignment/>
    </xf>
    <xf numFmtId="2" fontId="0" fillId="0" borderId="0" xfId="0" applyNumberFormat="1" applyFont="1" applyFill="1" applyBorder="1" applyAlignment="1">
      <alignment horizontal="center" vertical="top" wrapText="1"/>
    </xf>
    <xf numFmtId="2" fontId="9" fillId="0" borderId="0" xfId="0" applyNumberFormat="1" applyFont="1" applyBorder="1" applyAlignment="1">
      <alignment horizontal="center"/>
    </xf>
    <xf numFmtId="0" fontId="9" fillId="0" borderId="0" xfId="0" applyFont="1" applyBorder="1" applyAlignment="1">
      <alignment horizontal="center"/>
    </xf>
    <xf numFmtId="0" fontId="9" fillId="0" borderId="0" xfId="0" applyFont="1" applyAlignment="1">
      <alignment wrapText="1"/>
    </xf>
    <xf numFmtId="0" fontId="8" fillId="0" borderId="10" xfId="0" applyFont="1" applyBorder="1" applyAlignment="1">
      <alignment wrapText="1"/>
    </xf>
    <xf numFmtId="0" fontId="9" fillId="0" borderId="11" xfId="0" applyFont="1" applyBorder="1" applyAlignment="1">
      <alignment wrapText="1"/>
    </xf>
    <xf numFmtId="0" fontId="9" fillId="0" borderId="12" xfId="0" applyFont="1" applyBorder="1" applyAlignment="1">
      <alignment wrapText="1"/>
    </xf>
    <xf numFmtId="0" fontId="9" fillId="0" borderId="10" xfId="0" applyFont="1" applyBorder="1" applyAlignment="1">
      <alignment wrapText="1"/>
    </xf>
    <xf numFmtId="0" fontId="9" fillId="0" borderId="13" xfId="0" applyFont="1" applyBorder="1" applyAlignment="1">
      <alignment wrapText="1"/>
    </xf>
    <xf numFmtId="0" fontId="9" fillId="0" borderId="14" xfId="0" applyFont="1" applyBorder="1" applyAlignment="1">
      <alignment wrapText="1"/>
    </xf>
    <xf numFmtId="0" fontId="9" fillId="0" borderId="0" xfId="0" applyFont="1" applyFill="1" applyAlignment="1">
      <alignment/>
    </xf>
    <xf numFmtId="0" fontId="9" fillId="24" borderId="0" xfId="0" applyFont="1" applyFill="1" applyAlignment="1">
      <alignment horizontal="center"/>
    </xf>
    <xf numFmtId="0" fontId="9" fillId="24" borderId="0" xfId="0" applyFont="1" applyFill="1" applyBorder="1" applyAlignment="1">
      <alignment/>
    </xf>
    <xf numFmtId="0" fontId="9" fillId="24" borderId="0" xfId="0" applyFont="1" applyFill="1" applyBorder="1" applyAlignment="1">
      <alignment horizontal="center"/>
    </xf>
    <xf numFmtId="0" fontId="9" fillId="0" borderId="0" xfId="0" applyFont="1" applyFill="1" applyBorder="1" applyAlignment="1">
      <alignment horizontal="left"/>
    </xf>
    <xf numFmtId="0" fontId="12" fillId="0" borderId="0" xfId="0" applyFont="1" applyFill="1" applyAlignment="1">
      <alignment/>
    </xf>
    <xf numFmtId="0" fontId="4" fillId="24" borderId="0" xfId="0" applyFont="1" applyFill="1" applyBorder="1" applyAlignment="1">
      <alignment/>
    </xf>
    <xf numFmtId="0" fontId="11" fillId="0" borderId="0" xfId="0" applyFont="1" applyFill="1" applyAlignment="1">
      <alignment/>
    </xf>
    <xf numFmtId="0" fontId="9" fillId="0" borderId="13" xfId="0" applyFont="1" applyFill="1" applyBorder="1" applyAlignment="1">
      <alignment wrapText="1"/>
    </xf>
    <xf numFmtId="0" fontId="14" fillId="0" borderId="0" xfId="0" applyFont="1" applyFill="1" applyAlignment="1">
      <alignment/>
    </xf>
    <xf numFmtId="0" fontId="8" fillId="0" borderId="15" xfId="0" applyFont="1" applyBorder="1" applyAlignment="1">
      <alignment horizontal="left" wrapText="1"/>
    </xf>
    <xf numFmtId="0" fontId="4" fillId="24" borderId="16" xfId="0" applyFont="1" applyFill="1" applyBorder="1" applyAlignment="1">
      <alignment/>
    </xf>
    <xf numFmtId="0" fontId="0" fillId="24" borderId="17" xfId="0" applyFill="1" applyBorder="1" applyAlignment="1">
      <alignment/>
    </xf>
    <xf numFmtId="0" fontId="0" fillId="24" borderId="18" xfId="0" applyFill="1" applyBorder="1" applyAlignment="1">
      <alignment/>
    </xf>
    <xf numFmtId="0" fontId="4" fillId="24" borderId="19" xfId="0" applyFont="1" applyFill="1" applyBorder="1" applyAlignment="1">
      <alignment/>
    </xf>
    <xf numFmtId="0" fontId="8" fillId="4" borderId="15" xfId="0" applyFont="1" applyFill="1" applyBorder="1" applyAlignment="1">
      <alignment horizontal="center" wrapText="1"/>
    </xf>
    <xf numFmtId="0" fontId="9" fillId="4" borderId="20" xfId="0" applyFont="1" applyFill="1" applyBorder="1" applyAlignment="1">
      <alignment horizontal="center"/>
    </xf>
    <xf numFmtId="165" fontId="9" fillId="4" borderId="15" xfId="0" applyNumberFormat="1" applyFont="1" applyFill="1" applyBorder="1" applyAlignment="1">
      <alignment horizontal="center"/>
    </xf>
    <xf numFmtId="165" fontId="9" fillId="4" borderId="20" xfId="0" applyNumberFormat="1" applyFont="1" applyFill="1" applyBorder="1" applyAlignment="1">
      <alignment horizontal="center"/>
    </xf>
    <xf numFmtId="165" fontId="9" fillId="4" borderId="11" xfId="0" applyNumberFormat="1" applyFont="1" applyFill="1" applyBorder="1" applyAlignment="1">
      <alignment horizontal="center"/>
    </xf>
    <xf numFmtId="0" fontId="9" fillId="4" borderId="21" xfId="0" applyFont="1" applyFill="1" applyBorder="1" applyAlignment="1">
      <alignment horizontal="center"/>
    </xf>
    <xf numFmtId="0" fontId="9" fillId="4" borderId="22" xfId="0" applyFont="1" applyFill="1" applyBorder="1" applyAlignment="1">
      <alignment horizontal="center"/>
    </xf>
    <xf numFmtId="0" fontId="9" fillId="4" borderId="12" xfId="0" applyFont="1" applyFill="1" applyBorder="1" applyAlignment="1">
      <alignment horizontal="center"/>
    </xf>
    <xf numFmtId="0" fontId="9" fillId="4" borderId="23" xfId="0" applyFont="1" applyFill="1" applyBorder="1" applyAlignment="1">
      <alignment horizontal="center"/>
    </xf>
    <xf numFmtId="0" fontId="9" fillId="4" borderId="24" xfId="0" applyFont="1" applyFill="1" applyBorder="1" applyAlignment="1">
      <alignment horizontal="center"/>
    </xf>
    <xf numFmtId="0" fontId="9" fillId="4" borderId="10" xfId="0" applyFont="1" applyFill="1" applyBorder="1" applyAlignment="1">
      <alignment horizontal="center"/>
    </xf>
    <xf numFmtId="1" fontId="9" fillId="4" borderId="15" xfId="0" applyNumberFormat="1" applyFont="1" applyFill="1" applyBorder="1" applyAlignment="1">
      <alignment horizontal="center"/>
    </xf>
    <xf numFmtId="1" fontId="9" fillId="4" borderId="20" xfId="0" applyNumberFormat="1" applyFont="1" applyFill="1" applyBorder="1" applyAlignment="1">
      <alignment horizontal="center"/>
    </xf>
    <xf numFmtId="1" fontId="9" fillId="4" borderId="11" xfId="0" applyNumberFormat="1" applyFont="1" applyFill="1" applyBorder="1" applyAlignment="1">
      <alignment horizontal="center"/>
    </xf>
    <xf numFmtId="2" fontId="9" fillId="4" borderId="15" xfId="0" applyNumberFormat="1" applyFont="1" applyFill="1" applyBorder="1" applyAlignment="1">
      <alignment horizontal="center"/>
    </xf>
    <xf numFmtId="2" fontId="9" fillId="4" borderId="25" xfId="0" applyNumberFormat="1" applyFont="1" applyFill="1" applyBorder="1" applyAlignment="1">
      <alignment horizontal="center"/>
    </xf>
    <xf numFmtId="2" fontId="9" fillId="4" borderId="21" xfId="0" applyNumberFormat="1" applyFont="1" applyFill="1" applyBorder="1" applyAlignment="1">
      <alignment horizontal="center"/>
    </xf>
    <xf numFmtId="2" fontId="9" fillId="4" borderId="22" xfId="0" applyNumberFormat="1" applyFont="1" applyFill="1" applyBorder="1" applyAlignment="1">
      <alignment horizontal="center"/>
    </xf>
    <xf numFmtId="2" fontId="9" fillId="4" borderId="12" xfId="0" applyNumberFormat="1" applyFont="1" applyFill="1" applyBorder="1" applyAlignment="1">
      <alignment horizontal="center"/>
    </xf>
    <xf numFmtId="2" fontId="9" fillId="4" borderId="23" xfId="0" applyNumberFormat="1" applyFont="1" applyFill="1" applyBorder="1" applyAlignment="1">
      <alignment horizontal="center"/>
    </xf>
    <xf numFmtId="2" fontId="9" fillId="4" borderId="24" xfId="0" applyNumberFormat="1" applyFont="1" applyFill="1" applyBorder="1" applyAlignment="1">
      <alignment horizontal="center"/>
    </xf>
    <xf numFmtId="2" fontId="9" fillId="4" borderId="10" xfId="0" applyNumberFormat="1" applyFont="1" applyFill="1" applyBorder="1" applyAlignment="1">
      <alignment horizontal="center"/>
    </xf>
    <xf numFmtId="165" fontId="9" fillId="4" borderId="21" xfId="0" applyNumberFormat="1" applyFont="1" applyFill="1" applyBorder="1" applyAlignment="1">
      <alignment horizontal="center"/>
    </xf>
    <xf numFmtId="165" fontId="9" fillId="4" borderId="22" xfId="0" applyNumberFormat="1" applyFont="1" applyFill="1" applyBorder="1" applyAlignment="1">
      <alignment horizontal="center"/>
    </xf>
    <xf numFmtId="165" fontId="9" fillId="4" borderId="12" xfId="0" applyNumberFormat="1" applyFont="1" applyFill="1" applyBorder="1" applyAlignment="1">
      <alignment horizontal="center"/>
    </xf>
    <xf numFmtId="165" fontId="9" fillId="4" borderId="23" xfId="0" applyNumberFormat="1" applyFont="1" applyFill="1" applyBorder="1" applyAlignment="1">
      <alignment horizontal="center"/>
    </xf>
    <xf numFmtId="165" fontId="9" fillId="4" borderId="24" xfId="0" applyNumberFormat="1" applyFont="1" applyFill="1" applyBorder="1" applyAlignment="1">
      <alignment horizontal="center"/>
    </xf>
    <xf numFmtId="165" fontId="9" fillId="4" borderId="10" xfId="0" applyNumberFormat="1" applyFont="1" applyFill="1" applyBorder="1" applyAlignment="1">
      <alignment horizontal="center"/>
    </xf>
    <xf numFmtId="1" fontId="9" fillId="4" borderId="25" xfId="0" applyNumberFormat="1" applyFont="1" applyFill="1" applyBorder="1" applyAlignment="1">
      <alignment horizontal="center"/>
    </xf>
    <xf numFmtId="2" fontId="9" fillId="4" borderId="26" xfId="0" applyNumberFormat="1" applyFont="1" applyFill="1" applyBorder="1" applyAlignment="1">
      <alignment horizontal="center"/>
    </xf>
    <xf numFmtId="2" fontId="9" fillId="4" borderId="27" xfId="0" applyNumberFormat="1" applyFont="1" applyFill="1" applyBorder="1" applyAlignment="1">
      <alignment horizontal="center"/>
    </xf>
    <xf numFmtId="2" fontId="9" fillId="4" borderId="14" xfId="0" applyNumberFormat="1" applyFont="1" applyFill="1" applyBorder="1" applyAlignment="1">
      <alignment horizontal="center"/>
    </xf>
    <xf numFmtId="0" fontId="8" fillId="7" borderId="28" xfId="0" applyFont="1" applyFill="1" applyBorder="1" applyAlignment="1">
      <alignment horizontal="center" wrapText="1"/>
    </xf>
    <xf numFmtId="0" fontId="9" fillId="7" borderId="28" xfId="0" applyFont="1" applyFill="1" applyBorder="1" applyAlignment="1">
      <alignment horizontal="center"/>
    </xf>
    <xf numFmtId="0" fontId="9" fillId="7" borderId="20" xfId="0" applyFont="1" applyFill="1" applyBorder="1" applyAlignment="1">
      <alignment horizontal="center"/>
    </xf>
    <xf numFmtId="165" fontId="9" fillId="7" borderId="28" xfId="0" applyNumberFormat="1" applyFont="1" applyFill="1" applyBorder="1" applyAlignment="1">
      <alignment horizontal="center"/>
    </xf>
    <xf numFmtId="165" fontId="9" fillId="7" borderId="20" xfId="0" applyNumberFormat="1" applyFont="1" applyFill="1" applyBorder="1" applyAlignment="1">
      <alignment horizontal="center"/>
    </xf>
    <xf numFmtId="0" fontId="9" fillId="7" borderId="29" xfId="0" applyFont="1" applyFill="1" applyBorder="1" applyAlignment="1">
      <alignment horizontal="center"/>
    </xf>
    <xf numFmtId="0" fontId="9" fillId="7" borderId="22" xfId="0" applyFont="1" applyFill="1" applyBorder="1" applyAlignment="1">
      <alignment horizontal="center"/>
    </xf>
    <xf numFmtId="0" fontId="9" fillId="7" borderId="30" xfId="0" applyFont="1" applyFill="1" applyBorder="1" applyAlignment="1">
      <alignment horizontal="center"/>
    </xf>
    <xf numFmtId="0" fontId="9" fillId="7" borderId="24" xfId="0" applyFont="1" applyFill="1" applyBorder="1" applyAlignment="1">
      <alignment horizontal="center"/>
    </xf>
    <xf numFmtId="2" fontId="9" fillId="7" borderId="28" xfId="0" applyNumberFormat="1" applyFont="1" applyFill="1" applyBorder="1" applyAlignment="1">
      <alignment horizontal="center"/>
    </xf>
    <xf numFmtId="2" fontId="9" fillId="7" borderId="31" xfId="0" applyNumberFormat="1" applyFont="1" applyFill="1" applyBorder="1" applyAlignment="1">
      <alignment horizontal="center"/>
    </xf>
    <xf numFmtId="4" fontId="9" fillId="7" borderId="28" xfId="0" applyNumberFormat="1" applyFont="1" applyFill="1" applyBorder="1" applyAlignment="1">
      <alignment horizontal="center"/>
    </xf>
    <xf numFmtId="4" fontId="9" fillId="7" borderId="20" xfId="0" applyNumberFormat="1" applyFont="1" applyFill="1" applyBorder="1" applyAlignment="1">
      <alignment horizontal="center"/>
    </xf>
    <xf numFmtId="1" fontId="9" fillId="7" borderId="28" xfId="0" applyNumberFormat="1" applyFont="1" applyFill="1" applyBorder="1" applyAlignment="1">
      <alignment horizontal="center"/>
    </xf>
    <xf numFmtId="1" fontId="9" fillId="7" borderId="20" xfId="0" applyNumberFormat="1" applyFont="1" applyFill="1" applyBorder="1" applyAlignment="1">
      <alignment horizontal="center"/>
    </xf>
    <xf numFmtId="1" fontId="9" fillId="7" borderId="31" xfId="0" applyNumberFormat="1" applyFont="1" applyFill="1" applyBorder="1" applyAlignment="1">
      <alignment horizontal="center"/>
    </xf>
    <xf numFmtId="0" fontId="9" fillId="7" borderId="32" xfId="0" applyFont="1" applyFill="1" applyBorder="1" applyAlignment="1">
      <alignment horizontal="center"/>
    </xf>
    <xf numFmtId="0" fontId="9" fillId="7" borderId="27" xfId="0" applyFont="1" applyFill="1" applyBorder="1" applyAlignment="1">
      <alignment horizontal="center"/>
    </xf>
    <xf numFmtId="0" fontId="8" fillId="22" borderId="15" xfId="0" applyFont="1" applyFill="1" applyBorder="1" applyAlignment="1">
      <alignment horizontal="center" wrapText="1"/>
    </xf>
    <xf numFmtId="0" fontId="8" fillId="22" borderId="23" xfId="0" applyFont="1" applyFill="1" applyBorder="1" applyAlignment="1">
      <alignment horizontal="center"/>
    </xf>
    <xf numFmtId="0" fontId="8" fillId="22" borderId="24" xfId="0" applyFont="1" applyFill="1" applyBorder="1" applyAlignment="1">
      <alignment horizontal="center"/>
    </xf>
    <xf numFmtId="0" fontId="8" fillId="22" borderId="10" xfId="0" applyFont="1" applyFill="1" applyBorder="1" applyAlignment="1">
      <alignment horizontal="center"/>
    </xf>
    <xf numFmtId="0" fontId="9" fillId="22" borderId="15" xfId="0" applyFont="1" applyFill="1" applyBorder="1" applyAlignment="1">
      <alignment horizontal="center"/>
    </xf>
    <xf numFmtId="0" fontId="9" fillId="22" borderId="20" xfId="0" applyFont="1" applyFill="1" applyBorder="1" applyAlignment="1">
      <alignment horizontal="center"/>
    </xf>
    <xf numFmtId="0" fontId="9" fillId="22" borderId="11" xfId="0" applyFont="1" applyFill="1" applyBorder="1" applyAlignment="1">
      <alignment horizontal="center"/>
    </xf>
    <xf numFmtId="165" fontId="9" fillId="22" borderId="15" xfId="0" applyNumberFormat="1" applyFont="1" applyFill="1" applyBorder="1" applyAlignment="1">
      <alignment horizontal="center"/>
    </xf>
    <xf numFmtId="165" fontId="9" fillId="22" borderId="20" xfId="0" applyNumberFormat="1" applyFont="1" applyFill="1" applyBorder="1" applyAlignment="1">
      <alignment horizontal="center"/>
    </xf>
    <xf numFmtId="165" fontId="9" fillId="22" borderId="11" xfId="0" applyNumberFormat="1" applyFont="1" applyFill="1" applyBorder="1" applyAlignment="1">
      <alignment horizontal="center"/>
    </xf>
    <xf numFmtId="0" fontId="9" fillId="22" borderId="21" xfId="0" applyFont="1" applyFill="1" applyBorder="1" applyAlignment="1">
      <alignment horizontal="center"/>
    </xf>
    <xf numFmtId="0" fontId="9" fillId="22" borderId="22" xfId="0" applyFont="1" applyFill="1" applyBorder="1" applyAlignment="1">
      <alignment horizontal="center"/>
    </xf>
    <xf numFmtId="0" fontId="9" fillId="22" borderId="12" xfId="0" applyFont="1" applyFill="1" applyBorder="1" applyAlignment="1">
      <alignment horizontal="center"/>
    </xf>
    <xf numFmtId="0" fontId="9" fillId="22" borderId="23" xfId="0" applyFont="1" applyFill="1" applyBorder="1" applyAlignment="1">
      <alignment horizontal="center"/>
    </xf>
    <xf numFmtId="0" fontId="9" fillId="22" borderId="24" xfId="0" applyFont="1" applyFill="1" applyBorder="1" applyAlignment="1">
      <alignment horizontal="center"/>
    </xf>
    <xf numFmtId="0" fontId="9" fillId="22" borderId="10" xfId="0" applyFont="1" applyFill="1" applyBorder="1" applyAlignment="1">
      <alignment horizontal="center"/>
    </xf>
    <xf numFmtId="2" fontId="9" fillId="22" borderId="15" xfId="0" applyNumberFormat="1" applyFont="1" applyFill="1" applyBorder="1" applyAlignment="1">
      <alignment horizontal="center"/>
    </xf>
    <xf numFmtId="2" fontId="9" fillId="22" borderId="25" xfId="0" applyNumberFormat="1" applyFont="1" applyFill="1" applyBorder="1" applyAlignment="1">
      <alignment horizontal="center"/>
    </xf>
    <xf numFmtId="1" fontId="9" fillId="22" borderId="15" xfId="0" applyNumberFormat="1" applyFont="1" applyFill="1" applyBorder="1" applyAlignment="1">
      <alignment horizontal="center"/>
    </xf>
    <xf numFmtId="1" fontId="9" fillId="22" borderId="20" xfId="0" applyNumberFormat="1" applyFont="1" applyFill="1" applyBorder="1" applyAlignment="1">
      <alignment horizontal="center"/>
    </xf>
    <xf numFmtId="1" fontId="9" fillId="22" borderId="11" xfId="0" applyNumberFormat="1" applyFont="1" applyFill="1" applyBorder="1" applyAlignment="1">
      <alignment horizontal="center"/>
    </xf>
    <xf numFmtId="0" fontId="8" fillId="20" borderId="33" xfId="0" applyFont="1" applyFill="1" applyBorder="1" applyAlignment="1">
      <alignment/>
    </xf>
    <xf numFmtId="0" fontId="9" fillId="20" borderId="34" xfId="0" applyFont="1" applyFill="1" applyBorder="1" applyAlignment="1">
      <alignment horizontal="right"/>
    </xf>
    <xf numFmtId="0" fontId="9" fillId="20" borderId="35" xfId="0" applyFont="1" applyFill="1" applyBorder="1" applyAlignment="1">
      <alignment/>
    </xf>
    <xf numFmtId="0" fontId="9" fillId="20" borderId="34" xfId="0" applyFont="1" applyFill="1" applyBorder="1" applyAlignment="1">
      <alignment horizontal="right" wrapText="1"/>
    </xf>
    <xf numFmtId="0" fontId="9" fillId="20" borderId="35" xfId="0" applyFont="1" applyFill="1" applyBorder="1" applyAlignment="1">
      <alignment wrapText="1"/>
    </xf>
    <xf numFmtId="0" fontId="8" fillId="20" borderId="33" xfId="0" applyFont="1" applyFill="1" applyBorder="1" applyAlignment="1">
      <alignment wrapText="1"/>
    </xf>
    <xf numFmtId="0" fontId="9" fillId="20" borderId="36" xfId="0" applyFont="1" applyFill="1" applyBorder="1" applyAlignment="1">
      <alignment horizontal="right" wrapText="1"/>
    </xf>
    <xf numFmtId="0" fontId="8" fillId="20" borderId="37" xfId="0" applyFont="1" applyFill="1" applyBorder="1" applyAlignment="1">
      <alignment wrapText="1"/>
    </xf>
    <xf numFmtId="0" fontId="11" fillId="0" borderId="0" xfId="0" applyFont="1" applyFill="1" applyAlignment="1">
      <alignment/>
    </xf>
    <xf numFmtId="0" fontId="9" fillId="0" borderId="0" xfId="0" applyFont="1" applyFill="1" applyAlignment="1">
      <alignment/>
    </xf>
    <xf numFmtId="0" fontId="8" fillId="0" borderId="0" xfId="0" applyFont="1" applyFill="1" applyAlignment="1">
      <alignment/>
    </xf>
    <xf numFmtId="0" fontId="8" fillId="0" borderId="0" xfId="0" applyFont="1" applyFill="1" applyBorder="1" applyAlignment="1">
      <alignment/>
    </xf>
    <xf numFmtId="0" fontId="12" fillId="0" borderId="0" xfId="0" applyFont="1" applyFill="1" applyAlignment="1">
      <alignment/>
    </xf>
    <xf numFmtId="0" fontId="9" fillId="22" borderId="38" xfId="0" applyFont="1" applyFill="1" applyBorder="1" applyAlignment="1">
      <alignment horizontal="center"/>
    </xf>
    <xf numFmtId="0" fontId="9" fillId="22" borderId="39" xfId="0" applyFont="1" applyFill="1" applyBorder="1" applyAlignment="1">
      <alignment horizontal="center"/>
    </xf>
    <xf numFmtId="0" fontId="4" fillId="24" borderId="40" xfId="0" applyFont="1" applyFill="1" applyBorder="1" applyAlignment="1">
      <alignment/>
    </xf>
    <xf numFmtId="0" fontId="4" fillId="24" borderId="35" xfId="0" applyFont="1" applyFill="1" applyBorder="1" applyAlignment="1">
      <alignment/>
    </xf>
    <xf numFmtId="0" fontId="4" fillId="24" borderId="41" xfId="0" applyFont="1" applyFill="1" applyBorder="1" applyAlignment="1">
      <alignment/>
    </xf>
    <xf numFmtId="0" fontId="4" fillId="24" borderId="42" xfId="0" applyFont="1" applyFill="1" applyBorder="1" applyAlignment="1">
      <alignment/>
    </xf>
    <xf numFmtId="0" fontId="8" fillId="0" borderId="43" xfId="0" applyFont="1" applyBorder="1" applyAlignment="1">
      <alignment horizontal="center" wrapText="1"/>
    </xf>
    <xf numFmtId="0" fontId="8" fillId="0" borderId="44" xfId="0" applyFont="1" applyBorder="1" applyAlignment="1">
      <alignment horizontal="center" wrapText="1"/>
    </xf>
    <xf numFmtId="0" fontId="8" fillId="0" borderId="23" xfId="0" applyFont="1" applyBorder="1" applyAlignment="1">
      <alignment horizontal="left" wrapText="1"/>
    </xf>
    <xf numFmtId="0" fontId="8" fillId="0" borderId="25" xfId="0" applyFont="1" applyBorder="1" applyAlignment="1">
      <alignment horizontal="left" wrapText="1"/>
    </xf>
    <xf numFmtId="0" fontId="9" fillId="0" borderId="0" xfId="0" applyFont="1" applyBorder="1" applyAlignment="1">
      <alignment horizontal="center" wrapText="1"/>
    </xf>
    <xf numFmtId="0" fontId="9" fillId="0" borderId="0" xfId="0" applyFont="1" applyFill="1" applyAlignment="1">
      <alignment horizontal="center"/>
    </xf>
    <xf numFmtId="0" fontId="8" fillId="4" borderId="45" xfId="0" applyFont="1" applyFill="1" applyBorder="1" applyAlignment="1">
      <alignment horizontal="center" wrapText="1"/>
    </xf>
    <xf numFmtId="0" fontId="8" fillId="4" borderId="46" xfId="0" applyFont="1" applyFill="1" applyBorder="1" applyAlignment="1">
      <alignment horizontal="center" wrapText="1"/>
    </xf>
    <xf numFmtId="1" fontId="9" fillId="4" borderId="47" xfId="0" applyNumberFormat="1" applyFont="1" applyFill="1" applyBorder="1" applyAlignment="1">
      <alignment horizontal="center"/>
    </xf>
    <xf numFmtId="165" fontId="9" fillId="4" borderId="48" xfId="0" applyNumberFormat="1" applyFont="1" applyFill="1" applyBorder="1" applyAlignment="1">
      <alignment horizontal="center"/>
    </xf>
    <xf numFmtId="2" fontId="9" fillId="4" borderId="20" xfId="0" applyNumberFormat="1" applyFont="1" applyFill="1" applyBorder="1" applyAlignment="1">
      <alignment horizontal="center"/>
    </xf>
    <xf numFmtId="164" fontId="9" fillId="4" borderId="20" xfId="0" applyNumberFormat="1" applyFont="1" applyFill="1" applyBorder="1" applyAlignment="1">
      <alignment horizontal="center"/>
    </xf>
    <xf numFmtId="3" fontId="9" fillId="4" borderId="20" xfId="0" applyNumberFormat="1" applyFont="1" applyFill="1" applyBorder="1" applyAlignment="1">
      <alignment horizontal="center"/>
    </xf>
    <xf numFmtId="4" fontId="9" fillId="4" borderId="20" xfId="0" applyNumberFormat="1" applyFont="1" applyFill="1" applyBorder="1" applyAlignment="1">
      <alignment horizontal="center"/>
    </xf>
    <xf numFmtId="4" fontId="9" fillId="4" borderId="47" xfId="0" applyNumberFormat="1" applyFont="1" applyFill="1" applyBorder="1" applyAlignment="1">
      <alignment horizontal="center"/>
    </xf>
    <xf numFmtId="0" fontId="9" fillId="24" borderId="0" xfId="0" applyFont="1" applyFill="1" applyBorder="1" applyAlignment="1">
      <alignment/>
    </xf>
    <xf numFmtId="0" fontId="9" fillId="20" borderId="0" xfId="0" applyFont="1" applyFill="1" applyBorder="1" applyAlignment="1">
      <alignment horizontal="right"/>
    </xf>
    <xf numFmtId="0" fontId="9" fillId="0" borderId="0" xfId="0" applyFont="1" applyBorder="1" applyAlignment="1">
      <alignment/>
    </xf>
    <xf numFmtId="0" fontId="8" fillId="7" borderId="46" xfId="0" applyFont="1" applyFill="1" applyBorder="1" applyAlignment="1">
      <alignment horizontal="center" wrapText="1"/>
    </xf>
    <xf numFmtId="165" fontId="9" fillId="7" borderId="24" xfId="0" applyNumberFormat="1" applyFont="1" applyFill="1" applyBorder="1" applyAlignment="1">
      <alignment horizontal="center"/>
    </xf>
    <xf numFmtId="1" fontId="9" fillId="7" borderId="47" xfId="0" applyNumberFormat="1" applyFont="1" applyFill="1" applyBorder="1" applyAlignment="1">
      <alignment horizontal="center"/>
    </xf>
    <xf numFmtId="2" fontId="9" fillId="7" borderId="20" xfId="0" applyNumberFormat="1" applyFont="1" applyFill="1" applyBorder="1" applyAlignment="1">
      <alignment horizontal="center"/>
    </xf>
    <xf numFmtId="164" fontId="9" fillId="7" borderId="20" xfId="0" applyNumberFormat="1" applyFont="1" applyFill="1" applyBorder="1" applyAlignment="1">
      <alignment horizontal="center"/>
    </xf>
    <xf numFmtId="3" fontId="9" fillId="7" borderId="20" xfId="0" applyNumberFormat="1" applyFont="1" applyFill="1" applyBorder="1" applyAlignment="1">
      <alignment horizontal="center"/>
    </xf>
    <xf numFmtId="4" fontId="9" fillId="7" borderId="47" xfId="0" applyNumberFormat="1" applyFont="1" applyFill="1" applyBorder="1" applyAlignment="1">
      <alignment horizontal="center"/>
    </xf>
    <xf numFmtId="0" fontId="8" fillId="22" borderId="46" xfId="0" applyFont="1" applyFill="1" applyBorder="1" applyAlignment="1">
      <alignment horizontal="center" wrapText="1"/>
    </xf>
    <xf numFmtId="165" fontId="9" fillId="22" borderId="24" xfId="0" applyNumberFormat="1" applyFont="1" applyFill="1" applyBorder="1" applyAlignment="1">
      <alignment horizontal="center"/>
    </xf>
    <xf numFmtId="1" fontId="9" fillId="22" borderId="47" xfId="0" applyNumberFormat="1" applyFont="1" applyFill="1" applyBorder="1" applyAlignment="1">
      <alignment horizontal="center"/>
    </xf>
    <xf numFmtId="2" fontId="9" fillId="22" borderId="20" xfId="0" applyNumberFormat="1" applyFont="1" applyFill="1" applyBorder="1" applyAlignment="1">
      <alignment horizontal="center"/>
    </xf>
    <xf numFmtId="164" fontId="9" fillId="22" borderId="20" xfId="0" applyNumberFormat="1" applyFont="1" applyFill="1" applyBorder="1" applyAlignment="1">
      <alignment horizontal="center"/>
    </xf>
    <xf numFmtId="3" fontId="9" fillId="22" borderId="20" xfId="0" applyNumberFormat="1" applyFont="1" applyFill="1" applyBorder="1" applyAlignment="1">
      <alignment horizontal="center"/>
    </xf>
    <xf numFmtId="4" fontId="9" fillId="22" borderId="20" xfId="0" applyNumberFormat="1" applyFont="1" applyFill="1" applyBorder="1" applyAlignment="1">
      <alignment horizontal="center"/>
    </xf>
    <xf numFmtId="4" fontId="9" fillId="22" borderId="47" xfId="0" applyNumberFormat="1" applyFont="1" applyFill="1" applyBorder="1" applyAlignment="1">
      <alignment horizontal="center"/>
    </xf>
    <xf numFmtId="0" fontId="8" fillId="8" borderId="15" xfId="0" applyFont="1" applyFill="1" applyBorder="1" applyAlignment="1">
      <alignment horizontal="center" wrapText="1"/>
    </xf>
    <xf numFmtId="0" fontId="8" fillId="8" borderId="24" xfId="0" applyFont="1" applyFill="1" applyBorder="1" applyAlignment="1">
      <alignment horizontal="center"/>
    </xf>
    <xf numFmtId="1" fontId="9" fillId="8" borderId="15" xfId="0" applyNumberFormat="1" applyFont="1" applyFill="1" applyBorder="1" applyAlignment="1">
      <alignment horizontal="center"/>
    </xf>
    <xf numFmtId="1" fontId="9" fillId="8" borderId="20" xfId="0" applyNumberFormat="1" applyFont="1" applyFill="1" applyBorder="1" applyAlignment="1">
      <alignment horizontal="center"/>
    </xf>
    <xf numFmtId="1" fontId="9" fillId="8" borderId="11" xfId="0" applyNumberFormat="1" applyFont="1" applyFill="1" applyBorder="1" applyAlignment="1">
      <alignment horizontal="center"/>
    </xf>
    <xf numFmtId="165" fontId="9" fillId="8" borderId="15" xfId="0" applyNumberFormat="1" applyFont="1" applyFill="1" applyBorder="1" applyAlignment="1">
      <alignment horizontal="center"/>
    </xf>
    <xf numFmtId="0" fontId="9" fillId="8" borderId="21" xfId="0" applyFont="1" applyFill="1" applyBorder="1" applyAlignment="1">
      <alignment horizontal="center"/>
    </xf>
    <xf numFmtId="0" fontId="9" fillId="8" borderId="0" xfId="0" applyFont="1" applyFill="1" applyBorder="1" applyAlignment="1">
      <alignment horizontal="center"/>
    </xf>
    <xf numFmtId="0" fontId="9" fillId="8" borderId="24" xfId="0" applyFont="1" applyFill="1" applyBorder="1" applyAlignment="1">
      <alignment horizontal="center"/>
    </xf>
    <xf numFmtId="0" fontId="9" fillId="8" borderId="20" xfId="0" applyFont="1" applyFill="1" applyBorder="1" applyAlignment="1">
      <alignment horizontal="center"/>
    </xf>
    <xf numFmtId="165" fontId="9" fillId="8" borderId="20" xfId="0" applyNumberFormat="1" applyFont="1" applyFill="1" applyBorder="1" applyAlignment="1">
      <alignment horizontal="center"/>
    </xf>
    <xf numFmtId="2" fontId="9" fillId="8" borderId="15" xfId="0" applyNumberFormat="1" applyFont="1" applyFill="1" applyBorder="1" applyAlignment="1">
      <alignment horizontal="center"/>
    </xf>
    <xf numFmtId="2" fontId="9" fillId="8" borderId="25" xfId="0" applyNumberFormat="1" applyFont="1" applyFill="1" applyBorder="1" applyAlignment="1">
      <alignment horizontal="center"/>
    </xf>
    <xf numFmtId="0" fontId="9" fillId="8" borderId="23" xfId="0" applyFont="1" applyFill="1" applyBorder="1" applyAlignment="1">
      <alignment horizontal="center"/>
    </xf>
    <xf numFmtId="0" fontId="9" fillId="8" borderId="15" xfId="0" applyFont="1" applyFill="1" applyBorder="1" applyAlignment="1">
      <alignment horizontal="center"/>
    </xf>
    <xf numFmtId="0" fontId="9" fillId="8" borderId="22" xfId="0" applyFont="1" applyFill="1" applyBorder="1" applyAlignment="1">
      <alignment horizontal="center"/>
    </xf>
    <xf numFmtId="0" fontId="9" fillId="8" borderId="38" xfId="0" applyFont="1" applyFill="1" applyBorder="1" applyAlignment="1">
      <alignment horizontal="center"/>
    </xf>
    <xf numFmtId="0" fontId="9" fillId="8" borderId="39" xfId="0" applyFont="1" applyFill="1" applyBorder="1" applyAlignment="1">
      <alignment horizontal="center"/>
    </xf>
    <xf numFmtId="0" fontId="8" fillId="8" borderId="46" xfId="0" applyFont="1" applyFill="1" applyBorder="1" applyAlignment="1">
      <alignment horizontal="center" wrapText="1"/>
    </xf>
    <xf numFmtId="165" fontId="9" fillId="8" borderId="24" xfId="0" applyNumberFormat="1" applyFont="1" applyFill="1" applyBorder="1" applyAlignment="1">
      <alignment horizontal="center"/>
    </xf>
    <xf numFmtId="1" fontId="9" fillId="8" borderId="47" xfId="0" applyNumberFormat="1" applyFont="1" applyFill="1" applyBorder="1" applyAlignment="1">
      <alignment horizontal="center"/>
    </xf>
    <xf numFmtId="2" fontId="9" fillId="8" borderId="20" xfId="0" applyNumberFormat="1" applyFont="1" applyFill="1" applyBorder="1" applyAlignment="1">
      <alignment horizontal="center"/>
    </xf>
    <xf numFmtId="164" fontId="9" fillId="8" borderId="20" xfId="0" applyNumberFormat="1" applyFont="1" applyFill="1" applyBorder="1" applyAlignment="1">
      <alignment horizontal="center"/>
    </xf>
    <xf numFmtId="3" fontId="9" fillId="8" borderId="20" xfId="0" applyNumberFormat="1" applyFont="1" applyFill="1" applyBorder="1" applyAlignment="1">
      <alignment horizontal="center"/>
    </xf>
    <xf numFmtId="4" fontId="9" fillId="8" borderId="20" xfId="0" applyNumberFormat="1" applyFont="1" applyFill="1" applyBorder="1" applyAlignment="1">
      <alignment horizontal="center"/>
    </xf>
    <xf numFmtId="0" fontId="8" fillId="26" borderId="28" xfId="0" applyFont="1" applyFill="1" applyBorder="1" applyAlignment="1">
      <alignment horizontal="center" wrapText="1"/>
    </xf>
    <xf numFmtId="0" fontId="8" fillId="26" borderId="24" xfId="0" applyFont="1" applyFill="1" applyBorder="1" applyAlignment="1">
      <alignment horizontal="center"/>
    </xf>
    <xf numFmtId="0" fontId="9" fillId="26" borderId="0" xfId="0" applyFont="1" applyFill="1" applyBorder="1" applyAlignment="1">
      <alignment horizontal="center"/>
    </xf>
    <xf numFmtId="0" fontId="9" fillId="26" borderId="24" xfId="0" applyFont="1" applyFill="1" applyBorder="1" applyAlignment="1">
      <alignment horizontal="center"/>
    </xf>
    <xf numFmtId="0" fontId="9" fillId="26" borderId="10" xfId="0" applyFont="1" applyFill="1" applyBorder="1" applyAlignment="1">
      <alignment horizontal="center"/>
    </xf>
    <xf numFmtId="0" fontId="9" fillId="26" borderId="20" xfId="0" applyFont="1" applyFill="1" applyBorder="1" applyAlignment="1">
      <alignment horizontal="center"/>
    </xf>
    <xf numFmtId="165" fontId="9" fillId="26" borderId="20" xfId="0" applyNumberFormat="1" applyFont="1" applyFill="1" applyBorder="1" applyAlignment="1">
      <alignment horizontal="center"/>
    </xf>
    <xf numFmtId="2" fontId="9" fillId="26" borderId="20" xfId="0" applyNumberFormat="1" applyFont="1" applyFill="1" applyBorder="1" applyAlignment="1">
      <alignment horizontal="center"/>
    </xf>
    <xf numFmtId="1" fontId="9" fillId="26" borderId="20" xfId="0" applyNumberFormat="1" applyFont="1" applyFill="1" applyBorder="1" applyAlignment="1">
      <alignment horizontal="center"/>
    </xf>
    <xf numFmtId="0" fontId="8" fillId="26" borderId="46" xfId="0" applyFont="1" applyFill="1" applyBorder="1" applyAlignment="1">
      <alignment horizontal="center" wrapText="1"/>
    </xf>
    <xf numFmtId="0" fontId="8" fillId="26" borderId="49" xfId="0" applyFont="1" applyFill="1" applyBorder="1" applyAlignment="1">
      <alignment horizontal="center" wrapText="1"/>
    </xf>
    <xf numFmtId="165" fontId="9" fillId="26" borderId="24" xfId="0" applyNumberFormat="1" applyFont="1" applyFill="1" applyBorder="1" applyAlignment="1">
      <alignment horizontal="center"/>
    </xf>
    <xf numFmtId="1" fontId="9" fillId="26" borderId="47" xfId="0" applyNumberFormat="1" applyFont="1" applyFill="1" applyBorder="1" applyAlignment="1">
      <alignment horizontal="center"/>
    </xf>
    <xf numFmtId="164" fontId="9" fillId="26" borderId="20" xfId="0" applyNumberFormat="1" applyFont="1" applyFill="1" applyBorder="1" applyAlignment="1">
      <alignment horizontal="center"/>
    </xf>
    <xf numFmtId="3" fontId="9" fillId="26" borderId="20" xfId="0" applyNumberFormat="1" applyFont="1" applyFill="1" applyBorder="1" applyAlignment="1">
      <alignment horizontal="center"/>
    </xf>
    <xf numFmtId="4" fontId="9" fillId="26" borderId="20" xfId="0" applyNumberFormat="1" applyFont="1" applyFill="1" applyBorder="1" applyAlignment="1">
      <alignment horizontal="center"/>
    </xf>
    <xf numFmtId="4" fontId="9" fillId="26" borderId="47" xfId="0" applyNumberFormat="1" applyFont="1" applyFill="1" applyBorder="1" applyAlignment="1">
      <alignment horizontal="center"/>
    </xf>
    <xf numFmtId="0" fontId="9" fillId="26" borderId="48" xfId="0" applyFont="1" applyFill="1" applyBorder="1" applyAlignment="1">
      <alignment horizontal="center"/>
    </xf>
    <xf numFmtId="2" fontId="9" fillId="4" borderId="47" xfId="0" applyNumberFormat="1" applyFont="1" applyFill="1" applyBorder="1" applyAlignment="1">
      <alignment horizontal="center"/>
    </xf>
    <xf numFmtId="2" fontId="9" fillId="7" borderId="47" xfId="0" applyNumberFormat="1" applyFont="1" applyFill="1" applyBorder="1" applyAlignment="1">
      <alignment horizontal="center"/>
    </xf>
    <xf numFmtId="2" fontId="9" fillId="22" borderId="47" xfId="0" applyNumberFormat="1" applyFont="1" applyFill="1" applyBorder="1" applyAlignment="1">
      <alignment horizontal="center"/>
    </xf>
    <xf numFmtId="2" fontId="9" fillId="8" borderId="47" xfId="0" applyNumberFormat="1" applyFont="1" applyFill="1" applyBorder="1" applyAlignment="1">
      <alignment horizontal="center"/>
    </xf>
    <xf numFmtId="2" fontId="9" fillId="26" borderId="47" xfId="0" applyNumberFormat="1" applyFont="1" applyFill="1" applyBorder="1" applyAlignment="1">
      <alignment horizontal="center"/>
    </xf>
    <xf numFmtId="0" fontId="9" fillId="26" borderId="22" xfId="0" applyFont="1" applyFill="1" applyBorder="1" applyAlignment="1">
      <alignment horizontal="center"/>
    </xf>
    <xf numFmtId="0" fontId="9" fillId="7" borderId="48" xfId="0" applyFont="1" applyFill="1" applyBorder="1" applyAlignment="1">
      <alignment horizontal="center"/>
    </xf>
    <xf numFmtId="0" fontId="9" fillId="22" borderId="48" xfId="0" applyFont="1" applyFill="1" applyBorder="1" applyAlignment="1">
      <alignment horizontal="center"/>
    </xf>
    <xf numFmtId="0" fontId="9" fillId="8" borderId="48" xfId="0" applyFont="1" applyFill="1" applyBorder="1" applyAlignment="1">
      <alignment horizontal="center"/>
    </xf>
    <xf numFmtId="0" fontId="9" fillId="0" borderId="10" xfId="0" applyFont="1" applyFill="1" applyBorder="1" applyAlignment="1">
      <alignment wrapText="1"/>
    </xf>
    <xf numFmtId="0" fontId="9" fillId="0" borderId="50" xfId="0" applyFont="1" applyBorder="1" applyAlignment="1">
      <alignment wrapText="1"/>
    </xf>
    <xf numFmtId="165" fontId="9" fillId="4" borderId="47" xfId="0" applyNumberFormat="1" applyFont="1" applyFill="1" applyBorder="1" applyAlignment="1">
      <alignment horizontal="center"/>
    </xf>
    <xf numFmtId="0" fontId="9" fillId="7" borderId="47" xfId="0" applyFont="1" applyFill="1" applyBorder="1" applyAlignment="1">
      <alignment horizontal="center"/>
    </xf>
    <xf numFmtId="0" fontId="9" fillId="22" borderId="47" xfId="0" applyFont="1" applyFill="1" applyBorder="1" applyAlignment="1">
      <alignment horizontal="center"/>
    </xf>
    <xf numFmtId="0" fontId="9" fillId="8" borderId="47" xfId="0" applyFont="1" applyFill="1" applyBorder="1" applyAlignment="1">
      <alignment horizontal="center"/>
    </xf>
    <xf numFmtId="0" fontId="9" fillId="26" borderId="47" xfId="0" applyFont="1" applyFill="1" applyBorder="1" applyAlignment="1">
      <alignment horizontal="center"/>
    </xf>
    <xf numFmtId="0" fontId="8" fillId="4" borderId="24" xfId="0" applyFont="1" applyFill="1" applyBorder="1" applyAlignment="1">
      <alignment horizontal="center"/>
    </xf>
    <xf numFmtId="0" fontId="8" fillId="7" borderId="24" xfId="0" applyFont="1" applyFill="1" applyBorder="1" applyAlignment="1">
      <alignment horizontal="center"/>
    </xf>
    <xf numFmtId="0" fontId="8" fillId="0" borderId="0" xfId="0" applyFont="1" applyFill="1" applyAlignment="1">
      <alignment/>
    </xf>
    <xf numFmtId="165" fontId="8" fillId="0" borderId="24" xfId="0" applyNumberFormat="1" applyFont="1" applyBorder="1" applyAlignment="1">
      <alignment horizontal="center" wrapText="1"/>
    </xf>
    <xf numFmtId="165" fontId="8" fillId="0" borderId="20" xfId="0" applyNumberFormat="1" applyFont="1" applyBorder="1" applyAlignment="1">
      <alignment horizontal="center" wrapText="1"/>
    </xf>
    <xf numFmtId="165" fontId="8" fillId="0" borderId="47" xfId="0" applyNumberFormat="1" applyFont="1" applyBorder="1" applyAlignment="1">
      <alignment horizontal="center" wrapText="1"/>
    </xf>
    <xf numFmtId="165" fontId="4" fillId="24" borderId="10" xfId="0" applyNumberFormat="1" applyFont="1" applyFill="1" applyBorder="1" applyAlignment="1">
      <alignment horizontal="center"/>
    </xf>
    <xf numFmtId="165" fontId="4" fillId="24" borderId="11" xfId="0" applyNumberFormat="1" applyFont="1" applyFill="1" applyBorder="1" applyAlignment="1">
      <alignment horizontal="center"/>
    </xf>
    <xf numFmtId="165" fontId="4" fillId="24" borderId="13" xfId="0" applyNumberFormat="1" applyFont="1" applyFill="1" applyBorder="1" applyAlignment="1">
      <alignment horizontal="center"/>
    </xf>
    <xf numFmtId="165" fontId="4" fillId="24" borderId="51" xfId="0" applyNumberFormat="1" applyFont="1" applyFill="1" applyBorder="1" applyAlignment="1">
      <alignment horizontal="center"/>
    </xf>
    <xf numFmtId="165" fontId="4" fillId="24" borderId="52" xfId="0" applyNumberFormat="1" applyFont="1" applyFill="1" applyBorder="1" applyAlignment="1">
      <alignment horizontal="center"/>
    </xf>
    <xf numFmtId="0" fontId="4" fillId="24" borderId="51" xfId="0" applyFont="1" applyFill="1" applyBorder="1" applyAlignment="1">
      <alignment horizontal="center"/>
    </xf>
    <xf numFmtId="0" fontId="4" fillId="24" borderId="52" xfId="0" applyFont="1" applyFill="1" applyBorder="1" applyAlignment="1">
      <alignment horizontal="center"/>
    </xf>
    <xf numFmtId="0" fontId="4" fillId="24" borderId="0" xfId="0" applyFont="1" applyFill="1" applyBorder="1" applyAlignment="1">
      <alignment horizontal="center"/>
    </xf>
    <xf numFmtId="0" fontId="0" fillId="24" borderId="0" xfId="0" applyFill="1" applyAlignment="1">
      <alignment horizontal="center"/>
    </xf>
    <xf numFmtId="0" fontId="9" fillId="20" borderId="53" xfId="0" applyFont="1" applyFill="1" applyBorder="1" applyAlignment="1">
      <alignment horizontal="right"/>
    </xf>
    <xf numFmtId="0" fontId="9" fillId="20" borderId="54" xfId="0" applyFont="1" applyFill="1" applyBorder="1" applyAlignment="1">
      <alignment horizontal="right"/>
    </xf>
    <xf numFmtId="0" fontId="8" fillId="7" borderId="55" xfId="0" applyFont="1" applyFill="1" applyBorder="1" applyAlignment="1">
      <alignment horizontal="center" wrapText="1"/>
    </xf>
    <xf numFmtId="165" fontId="9" fillId="7" borderId="30" xfId="0" applyNumberFormat="1" applyFont="1" applyFill="1" applyBorder="1" applyAlignment="1">
      <alignment horizontal="center"/>
    </xf>
    <xf numFmtId="164" fontId="9" fillId="7" borderId="28" xfId="0" applyNumberFormat="1" applyFont="1" applyFill="1" applyBorder="1" applyAlignment="1">
      <alignment horizontal="center"/>
    </xf>
    <xf numFmtId="3" fontId="9" fillId="7" borderId="28" xfId="0" applyNumberFormat="1" applyFont="1" applyFill="1" applyBorder="1" applyAlignment="1">
      <alignment horizontal="center"/>
    </xf>
    <xf numFmtId="0" fontId="8" fillId="4" borderId="49" xfId="0" applyFont="1" applyFill="1" applyBorder="1" applyAlignment="1">
      <alignment horizontal="center" wrapText="1"/>
    </xf>
    <xf numFmtId="1" fontId="9" fillId="4" borderId="13" xfId="0" applyNumberFormat="1" applyFont="1" applyFill="1" applyBorder="1" applyAlignment="1">
      <alignment horizontal="center"/>
    </xf>
    <xf numFmtId="165" fontId="9" fillId="4" borderId="56" xfId="0" applyNumberFormat="1" applyFont="1" applyFill="1" applyBorder="1" applyAlignment="1">
      <alignment horizontal="center"/>
    </xf>
    <xf numFmtId="165" fontId="9" fillId="4" borderId="50" xfId="0" applyNumberFormat="1" applyFont="1" applyFill="1" applyBorder="1" applyAlignment="1">
      <alignment horizontal="center"/>
    </xf>
    <xf numFmtId="2" fontId="9" fillId="4" borderId="11" xfId="0" applyNumberFormat="1" applyFont="1" applyFill="1" applyBorder="1" applyAlignment="1">
      <alignment horizontal="center"/>
    </xf>
    <xf numFmtId="0" fontId="9" fillId="4" borderId="15" xfId="0" applyFont="1" applyFill="1" applyBorder="1" applyAlignment="1">
      <alignment horizontal="center"/>
    </xf>
    <xf numFmtId="0" fontId="9" fillId="4" borderId="11" xfId="0" applyFont="1" applyFill="1" applyBorder="1" applyAlignment="1">
      <alignment horizontal="center"/>
    </xf>
    <xf numFmtId="164" fontId="9" fillId="4" borderId="15" xfId="0" applyNumberFormat="1" applyFont="1" applyFill="1" applyBorder="1" applyAlignment="1">
      <alignment horizontal="center"/>
    </xf>
    <xf numFmtId="164" fontId="9" fillId="4" borderId="11" xfId="0" applyNumberFormat="1" applyFont="1" applyFill="1" applyBorder="1" applyAlignment="1">
      <alignment horizontal="center"/>
    </xf>
    <xf numFmtId="3" fontId="9" fillId="4" borderId="15" xfId="0" applyNumberFormat="1" applyFont="1" applyFill="1" applyBorder="1" applyAlignment="1">
      <alignment horizontal="center"/>
    </xf>
    <xf numFmtId="3" fontId="9" fillId="4" borderId="11" xfId="0" applyNumberFormat="1" applyFont="1" applyFill="1" applyBorder="1" applyAlignment="1">
      <alignment horizontal="center"/>
    </xf>
    <xf numFmtId="4" fontId="9" fillId="4" borderId="15" xfId="0" applyNumberFormat="1" applyFont="1" applyFill="1" applyBorder="1" applyAlignment="1">
      <alignment horizontal="center"/>
    </xf>
    <xf numFmtId="4" fontId="9" fillId="4" borderId="11" xfId="0" applyNumberFormat="1" applyFont="1" applyFill="1" applyBorder="1" applyAlignment="1">
      <alignment horizontal="center"/>
    </xf>
    <xf numFmtId="4" fontId="9" fillId="4" borderId="25" xfId="0" applyNumberFormat="1" applyFont="1" applyFill="1" applyBorder="1" applyAlignment="1">
      <alignment horizontal="center"/>
    </xf>
    <xf numFmtId="0" fontId="8" fillId="7" borderId="57" xfId="0" applyFont="1" applyFill="1" applyBorder="1" applyAlignment="1">
      <alignment horizontal="center" wrapText="1"/>
    </xf>
    <xf numFmtId="165" fontId="9" fillId="7" borderId="39" xfId="0" applyNumberFormat="1" applyFont="1" applyFill="1" applyBorder="1" applyAlignment="1">
      <alignment horizontal="center"/>
    </xf>
    <xf numFmtId="165" fontId="9" fillId="7" borderId="58" xfId="0" applyNumberFormat="1" applyFont="1" applyFill="1" applyBorder="1" applyAlignment="1">
      <alignment horizontal="center"/>
    </xf>
    <xf numFmtId="1" fontId="9" fillId="7" borderId="59" xfId="0" applyNumberFormat="1" applyFont="1" applyFill="1" applyBorder="1" applyAlignment="1">
      <alignment horizontal="center"/>
    </xf>
    <xf numFmtId="1" fontId="9" fillId="7" borderId="58" xfId="0" applyNumberFormat="1" applyFont="1" applyFill="1" applyBorder="1" applyAlignment="1">
      <alignment horizontal="center"/>
    </xf>
    <xf numFmtId="2" fontId="9" fillId="7" borderId="58" xfId="0" applyNumberFormat="1" applyFont="1" applyFill="1" applyBorder="1" applyAlignment="1">
      <alignment horizontal="center"/>
    </xf>
    <xf numFmtId="0" fontId="9" fillId="7" borderId="58" xfId="0" applyFont="1" applyFill="1" applyBorder="1" applyAlignment="1">
      <alignment horizontal="center"/>
    </xf>
    <xf numFmtId="164" fontId="9" fillId="7" borderId="58" xfId="0" applyNumberFormat="1" applyFont="1" applyFill="1" applyBorder="1" applyAlignment="1">
      <alignment horizontal="center"/>
    </xf>
    <xf numFmtId="3" fontId="9" fillId="7" borderId="58" xfId="0" applyNumberFormat="1" applyFont="1" applyFill="1" applyBorder="1" applyAlignment="1">
      <alignment horizontal="center"/>
    </xf>
    <xf numFmtId="4" fontId="9" fillId="7" borderId="58" xfId="0" applyNumberFormat="1" applyFont="1" applyFill="1" applyBorder="1" applyAlignment="1">
      <alignment horizontal="center"/>
    </xf>
    <xf numFmtId="0" fontId="8" fillId="22" borderId="28" xfId="0" applyFont="1" applyFill="1" applyBorder="1" applyAlignment="1">
      <alignment horizontal="center" wrapText="1"/>
    </xf>
    <xf numFmtId="0" fontId="8" fillId="22" borderId="55" xfId="0" applyFont="1" applyFill="1" applyBorder="1" applyAlignment="1">
      <alignment horizontal="center" wrapText="1"/>
    </xf>
    <xf numFmtId="165" fontId="9" fillId="22" borderId="30" xfId="0" applyNumberFormat="1" applyFont="1" applyFill="1" applyBorder="1" applyAlignment="1">
      <alignment horizontal="center"/>
    </xf>
    <xf numFmtId="165" fontId="9" fillId="22" borderId="28" xfId="0" applyNumberFormat="1" applyFont="1" applyFill="1" applyBorder="1" applyAlignment="1">
      <alignment horizontal="center"/>
    </xf>
    <xf numFmtId="1" fontId="9" fillId="22" borderId="31" xfId="0" applyNumberFormat="1" applyFont="1" applyFill="1" applyBorder="1" applyAlignment="1">
      <alignment horizontal="center"/>
    </xf>
    <xf numFmtId="1" fontId="9" fillId="22" borderId="28" xfId="0" applyNumberFormat="1" applyFont="1" applyFill="1" applyBorder="1" applyAlignment="1">
      <alignment horizontal="center"/>
    </xf>
    <xf numFmtId="2" fontId="9" fillId="22" borderId="28" xfId="0" applyNumberFormat="1" applyFont="1" applyFill="1" applyBorder="1" applyAlignment="1">
      <alignment horizontal="center"/>
    </xf>
    <xf numFmtId="0" fontId="9" fillId="22" borderId="28" xfId="0" applyFont="1" applyFill="1" applyBorder="1" applyAlignment="1">
      <alignment horizontal="center"/>
    </xf>
    <xf numFmtId="164" fontId="9" fillId="22" borderId="28" xfId="0" applyNumberFormat="1" applyFont="1" applyFill="1" applyBorder="1" applyAlignment="1">
      <alignment horizontal="center"/>
    </xf>
    <xf numFmtId="3" fontId="9" fillId="22" borderId="28" xfId="0" applyNumberFormat="1" applyFont="1" applyFill="1" applyBorder="1" applyAlignment="1">
      <alignment horizontal="center"/>
    </xf>
    <xf numFmtId="4" fontId="9" fillId="22" borderId="28" xfId="0" applyNumberFormat="1" applyFont="1" applyFill="1" applyBorder="1" applyAlignment="1">
      <alignment horizontal="center"/>
    </xf>
    <xf numFmtId="0" fontId="8" fillId="22" borderId="57" xfId="0" applyFont="1" applyFill="1" applyBorder="1" applyAlignment="1">
      <alignment horizontal="center" wrapText="1"/>
    </xf>
    <xf numFmtId="165" fontId="9" fillId="22" borderId="39" xfId="0" applyNumberFormat="1" applyFont="1" applyFill="1" applyBorder="1" applyAlignment="1">
      <alignment horizontal="center"/>
    </xf>
    <xf numFmtId="165" fontId="9" fillId="22" borderId="58" xfId="0" applyNumberFormat="1" applyFont="1" applyFill="1" applyBorder="1" applyAlignment="1">
      <alignment horizontal="center"/>
    </xf>
    <xf numFmtId="1" fontId="9" fillId="22" borderId="59" xfId="0" applyNumberFormat="1" applyFont="1" applyFill="1" applyBorder="1" applyAlignment="1">
      <alignment horizontal="center"/>
    </xf>
    <xf numFmtId="1" fontId="9" fillId="22" borderId="58" xfId="0" applyNumberFormat="1" applyFont="1" applyFill="1" applyBorder="1" applyAlignment="1">
      <alignment horizontal="center"/>
    </xf>
    <xf numFmtId="2" fontId="9" fillId="22" borderId="58" xfId="0" applyNumberFormat="1" applyFont="1" applyFill="1" applyBorder="1" applyAlignment="1">
      <alignment horizontal="center"/>
    </xf>
    <xf numFmtId="0" fontId="9" fillId="22" borderId="58" xfId="0" applyFont="1" applyFill="1" applyBorder="1" applyAlignment="1">
      <alignment horizontal="center"/>
    </xf>
    <xf numFmtId="164" fontId="9" fillId="22" borderId="58" xfId="0" applyNumberFormat="1" applyFont="1" applyFill="1" applyBorder="1" applyAlignment="1">
      <alignment horizontal="center"/>
    </xf>
    <xf numFmtId="3" fontId="9" fillId="22" borderId="58" xfId="0" applyNumberFormat="1" applyFont="1" applyFill="1" applyBorder="1" applyAlignment="1">
      <alignment horizontal="center"/>
    </xf>
    <xf numFmtId="4" fontId="9" fillId="22" borderId="58" xfId="0" applyNumberFormat="1" applyFont="1" applyFill="1" applyBorder="1" applyAlignment="1">
      <alignment horizontal="center"/>
    </xf>
    <xf numFmtId="0" fontId="8" fillId="26" borderId="55" xfId="0" applyFont="1" applyFill="1" applyBorder="1" applyAlignment="1">
      <alignment horizontal="center" wrapText="1"/>
    </xf>
    <xf numFmtId="0" fontId="8" fillId="8" borderId="45" xfId="0" applyFont="1" applyFill="1" applyBorder="1" applyAlignment="1">
      <alignment horizontal="center" wrapText="1"/>
    </xf>
    <xf numFmtId="0" fontId="8" fillId="8" borderId="49" xfId="0" applyFont="1" applyFill="1" applyBorder="1" applyAlignment="1">
      <alignment horizontal="center" wrapText="1"/>
    </xf>
    <xf numFmtId="165" fontId="9" fillId="8" borderId="23" xfId="0" applyNumberFormat="1" applyFont="1" applyFill="1" applyBorder="1" applyAlignment="1">
      <alignment horizontal="center"/>
    </xf>
    <xf numFmtId="165" fontId="9" fillId="8" borderId="10" xfId="0" applyNumberFormat="1" applyFont="1" applyFill="1" applyBorder="1" applyAlignment="1">
      <alignment horizontal="center"/>
    </xf>
    <xf numFmtId="165" fontId="9" fillId="8" borderId="11" xfId="0" applyNumberFormat="1" applyFont="1" applyFill="1" applyBorder="1" applyAlignment="1">
      <alignment horizontal="center"/>
    </xf>
    <xf numFmtId="1" fontId="9" fillId="8" borderId="25" xfId="0" applyNumberFormat="1" applyFont="1" applyFill="1" applyBorder="1" applyAlignment="1">
      <alignment horizontal="center"/>
    </xf>
    <xf numFmtId="1" fontId="9" fillId="8" borderId="13" xfId="0" applyNumberFormat="1" applyFont="1" applyFill="1" applyBorder="1" applyAlignment="1">
      <alignment horizontal="center"/>
    </xf>
    <xf numFmtId="2" fontId="9" fillId="8" borderId="11" xfId="0" applyNumberFormat="1" applyFont="1" applyFill="1" applyBorder="1" applyAlignment="1">
      <alignment horizontal="center"/>
    </xf>
    <xf numFmtId="0" fontId="9" fillId="8" borderId="11" xfId="0" applyFont="1" applyFill="1" applyBorder="1" applyAlignment="1">
      <alignment horizontal="center"/>
    </xf>
    <xf numFmtId="164" fontId="9" fillId="8" borderId="15" xfId="0" applyNumberFormat="1" applyFont="1" applyFill="1" applyBorder="1" applyAlignment="1">
      <alignment horizontal="center"/>
    </xf>
    <xf numFmtId="164" fontId="9" fillId="8" borderId="11" xfId="0" applyNumberFormat="1" applyFont="1" applyFill="1" applyBorder="1" applyAlignment="1">
      <alignment horizontal="center"/>
    </xf>
    <xf numFmtId="3" fontId="9" fillId="8" borderId="15" xfId="0" applyNumberFormat="1" applyFont="1" applyFill="1" applyBorder="1" applyAlignment="1">
      <alignment horizontal="center"/>
    </xf>
    <xf numFmtId="3" fontId="9" fillId="8" borderId="11" xfId="0" applyNumberFormat="1" applyFont="1" applyFill="1" applyBorder="1" applyAlignment="1">
      <alignment horizontal="center"/>
    </xf>
    <xf numFmtId="4" fontId="9" fillId="8" borderId="15" xfId="0" applyNumberFormat="1" applyFont="1" applyFill="1" applyBorder="1" applyAlignment="1">
      <alignment horizontal="center"/>
    </xf>
    <xf numFmtId="4" fontId="9" fillId="8" borderId="11" xfId="0" applyNumberFormat="1" applyFont="1" applyFill="1" applyBorder="1" applyAlignment="1">
      <alignment horizontal="center"/>
    </xf>
    <xf numFmtId="165" fontId="9" fillId="26" borderId="23" xfId="0" applyNumberFormat="1" applyFont="1" applyFill="1" applyBorder="1" applyAlignment="1">
      <alignment horizontal="center"/>
    </xf>
    <xf numFmtId="165" fontId="9" fillId="26" borderId="10" xfId="0" applyNumberFormat="1" applyFont="1" applyFill="1" applyBorder="1" applyAlignment="1">
      <alignment horizontal="center"/>
    </xf>
    <xf numFmtId="165" fontId="9" fillId="26" borderId="15" xfId="0" applyNumberFormat="1" applyFont="1" applyFill="1" applyBorder="1" applyAlignment="1">
      <alignment horizontal="center"/>
    </xf>
    <xf numFmtId="165" fontId="9" fillId="26" borderId="11" xfId="0" applyNumberFormat="1" applyFont="1" applyFill="1" applyBorder="1" applyAlignment="1">
      <alignment horizontal="center"/>
    </xf>
    <xf numFmtId="1" fontId="9" fillId="26" borderId="25" xfId="0" applyNumberFormat="1" applyFont="1" applyFill="1" applyBorder="1" applyAlignment="1">
      <alignment horizontal="center"/>
    </xf>
    <xf numFmtId="1" fontId="9" fillId="26" borderId="13" xfId="0" applyNumberFormat="1" applyFont="1" applyFill="1" applyBorder="1" applyAlignment="1">
      <alignment horizontal="center"/>
    </xf>
    <xf numFmtId="1" fontId="9" fillId="26" borderId="15" xfId="0" applyNumberFormat="1" applyFont="1" applyFill="1" applyBorder="1" applyAlignment="1">
      <alignment horizontal="center"/>
    </xf>
    <xf numFmtId="1" fontId="9" fillId="26" borderId="11" xfId="0" applyNumberFormat="1" applyFont="1" applyFill="1" applyBorder="1" applyAlignment="1">
      <alignment horizontal="center"/>
    </xf>
    <xf numFmtId="2" fontId="9" fillId="26" borderId="15" xfId="0" applyNumberFormat="1" applyFont="1" applyFill="1" applyBorder="1" applyAlignment="1">
      <alignment horizontal="center"/>
    </xf>
    <xf numFmtId="2" fontId="9" fillId="26" borderId="11" xfId="0" applyNumberFormat="1" applyFont="1" applyFill="1" applyBorder="1" applyAlignment="1">
      <alignment horizontal="center"/>
    </xf>
    <xf numFmtId="0" fontId="9" fillId="26" borderId="15" xfId="0" applyFont="1" applyFill="1" applyBorder="1" applyAlignment="1">
      <alignment horizontal="center"/>
    </xf>
    <xf numFmtId="0" fontId="9" fillId="26" borderId="11" xfId="0" applyFont="1" applyFill="1" applyBorder="1" applyAlignment="1">
      <alignment horizontal="center"/>
    </xf>
    <xf numFmtId="164" fontId="9" fillId="26" borderId="15" xfId="0" applyNumberFormat="1" applyFont="1" applyFill="1" applyBorder="1" applyAlignment="1">
      <alignment horizontal="center"/>
    </xf>
    <xf numFmtId="164" fontId="9" fillId="26" borderId="11" xfId="0" applyNumberFormat="1" applyFont="1" applyFill="1" applyBorder="1" applyAlignment="1">
      <alignment horizontal="center"/>
    </xf>
    <xf numFmtId="3" fontId="9" fillId="26" borderId="15" xfId="0" applyNumberFormat="1" applyFont="1" applyFill="1" applyBorder="1" applyAlignment="1">
      <alignment horizontal="center"/>
    </xf>
    <xf numFmtId="3" fontId="9" fillId="26" borderId="11" xfId="0" applyNumberFormat="1" applyFont="1" applyFill="1" applyBorder="1" applyAlignment="1">
      <alignment horizontal="center"/>
    </xf>
    <xf numFmtId="4" fontId="9" fillId="26" borderId="15" xfId="0" applyNumberFormat="1" applyFont="1" applyFill="1" applyBorder="1" applyAlignment="1">
      <alignment horizontal="center"/>
    </xf>
    <xf numFmtId="4" fontId="9" fillId="26" borderId="11" xfId="0" applyNumberFormat="1" applyFont="1" applyFill="1" applyBorder="1" applyAlignment="1">
      <alignment horizontal="center"/>
    </xf>
    <xf numFmtId="4" fontId="9" fillId="26" borderId="13" xfId="0" applyNumberFormat="1" applyFont="1" applyFill="1" applyBorder="1" applyAlignment="1">
      <alignment horizontal="center"/>
    </xf>
    <xf numFmtId="165" fontId="9" fillId="7" borderId="29" xfId="0" applyNumberFormat="1" applyFont="1" applyFill="1" applyBorder="1" applyAlignment="1">
      <alignment horizontal="center"/>
    </xf>
    <xf numFmtId="165" fontId="9" fillId="7" borderId="22" xfId="0" applyNumberFormat="1" applyFont="1" applyFill="1" applyBorder="1" applyAlignment="1">
      <alignment horizontal="center"/>
    </xf>
    <xf numFmtId="165" fontId="9" fillId="7" borderId="38" xfId="0" applyNumberFormat="1" applyFont="1" applyFill="1" applyBorder="1" applyAlignment="1">
      <alignment horizontal="center"/>
    </xf>
    <xf numFmtId="165" fontId="9" fillId="22" borderId="29" xfId="0" applyNumberFormat="1" applyFont="1" applyFill="1" applyBorder="1" applyAlignment="1">
      <alignment horizontal="center"/>
    </xf>
    <xf numFmtId="165" fontId="9" fillId="22" borderId="22" xfId="0" applyNumberFormat="1" applyFont="1" applyFill="1" applyBorder="1" applyAlignment="1">
      <alignment horizontal="center"/>
    </xf>
    <xf numFmtId="165" fontId="9" fillId="22" borderId="38" xfId="0" applyNumberFormat="1" applyFont="1" applyFill="1" applyBorder="1" applyAlignment="1">
      <alignment horizontal="center"/>
    </xf>
    <xf numFmtId="165" fontId="9" fillId="8" borderId="21" xfId="0" applyNumberFormat="1" applyFont="1" applyFill="1" applyBorder="1" applyAlignment="1">
      <alignment horizontal="center"/>
    </xf>
    <xf numFmtId="165" fontId="9" fillId="8" borderId="22" xfId="0" applyNumberFormat="1" applyFont="1" applyFill="1" applyBorder="1" applyAlignment="1">
      <alignment horizontal="center"/>
    </xf>
    <xf numFmtId="165" fontId="9" fillId="8" borderId="12" xfId="0" applyNumberFormat="1" applyFont="1" applyFill="1" applyBorder="1" applyAlignment="1">
      <alignment horizontal="center"/>
    </xf>
    <xf numFmtId="0" fontId="9" fillId="26" borderId="21" xfId="0" applyFont="1" applyFill="1" applyBorder="1" applyAlignment="1">
      <alignment/>
    </xf>
    <xf numFmtId="0" fontId="9" fillId="26" borderId="22" xfId="0" applyFont="1" applyFill="1" applyBorder="1" applyAlignment="1">
      <alignment/>
    </xf>
    <xf numFmtId="0" fontId="9" fillId="26" borderId="12" xfId="0" applyFont="1" applyFill="1" applyBorder="1" applyAlignment="1">
      <alignment/>
    </xf>
    <xf numFmtId="0" fontId="9" fillId="7" borderId="60" xfId="0" applyFont="1" applyFill="1" applyBorder="1" applyAlignment="1">
      <alignment horizontal="center"/>
    </xf>
    <xf numFmtId="1" fontId="9" fillId="4" borderId="23" xfId="0" applyNumberFormat="1" applyFont="1" applyFill="1" applyBorder="1" applyAlignment="1">
      <alignment horizontal="center"/>
    </xf>
    <xf numFmtId="1" fontId="9" fillId="4" borderId="24" xfId="0" applyNumberFormat="1" applyFont="1" applyFill="1" applyBorder="1" applyAlignment="1">
      <alignment horizontal="center"/>
    </xf>
    <xf numFmtId="1" fontId="9" fillId="4" borderId="10" xfId="0" applyNumberFormat="1" applyFont="1" applyFill="1" applyBorder="1" applyAlignment="1">
      <alignment horizontal="center"/>
    </xf>
    <xf numFmtId="1" fontId="9" fillId="7" borderId="30" xfId="0" applyNumberFormat="1" applyFont="1" applyFill="1" applyBorder="1" applyAlignment="1">
      <alignment horizontal="center"/>
    </xf>
    <xf numFmtId="1" fontId="9" fillId="7" borderId="24" xfId="0" applyNumberFormat="1" applyFont="1" applyFill="1" applyBorder="1" applyAlignment="1">
      <alignment horizontal="center"/>
    </xf>
    <xf numFmtId="1" fontId="9" fillId="7" borderId="39" xfId="0" applyNumberFormat="1" applyFont="1" applyFill="1" applyBorder="1" applyAlignment="1">
      <alignment horizontal="center"/>
    </xf>
    <xf numFmtId="1" fontId="9" fillId="22" borderId="30" xfId="0" applyNumberFormat="1" applyFont="1" applyFill="1" applyBorder="1" applyAlignment="1">
      <alignment horizontal="center"/>
    </xf>
    <xf numFmtId="1" fontId="9" fillId="22" borderId="24" xfId="0" applyNumberFormat="1" applyFont="1" applyFill="1" applyBorder="1" applyAlignment="1">
      <alignment horizontal="center"/>
    </xf>
    <xf numFmtId="1" fontId="9" fillId="22" borderId="39" xfId="0" applyNumberFormat="1" applyFont="1" applyFill="1" applyBorder="1" applyAlignment="1">
      <alignment horizontal="center"/>
    </xf>
    <xf numFmtId="1" fontId="9" fillId="8" borderId="23" xfId="0" applyNumberFormat="1" applyFont="1" applyFill="1" applyBorder="1" applyAlignment="1">
      <alignment horizontal="center"/>
    </xf>
    <xf numFmtId="1" fontId="9" fillId="8" borderId="24" xfId="0" applyNumberFormat="1" applyFont="1" applyFill="1" applyBorder="1" applyAlignment="1">
      <alignment horizontal="center"/>
    </xf>
    <xf numFmtId="1" fontId="9" fillId="8" borderId="10" xfId="0" applyNumberFormat="1" applyFont="1" applyFill="1" applyBorder="1" applyAlignment="1">
      <alignment horizontal="center"/>
    </xf>
    <xf numFmtId="1" fontId="9" fillId="26" borderId="23" xfId="0" applyNumberFormat="1" applyFont="1" applyFill="1" applyBorder="1" applyAlignment="1">
      <alignment horizontal="center"/>
    </xf>
    <xf numFmtId="1" fontId="9" fillId="26" borderId="24" xfId="0" applyNumberFormat="1" applyFont="1" applyFill="1" applyBorder="1" applyAlignment="1">
      <alignment horizontal="center"/>
    </xf>
    <xf numFmtId="169" fontId="9" fillId="4" borderId="25" xfId="0" applyNumberFormat="1" applyFont="1" applyFill="1" applyBorder="1" applyAlignment="1">
      <alignment horizontal="center"/>
    </xf>
    <xf numFmtId="169" fontId="9" fillId="4" borderId="47" xfId="0" applyNumberFormat="1" applyFont="1" applyFill="1" applyBorder="1" applyAlignment="1">
      <alignment horizontal="center"/>
    </xf>
    <xf numFmtId="169" fontId="9" fillId="4" borderId="13" xfId="0" applyNumberFormat="1" applyFont="1" applyFill="1" applyBorder="1" applyAlignment="1">
      <alignment horizontal="center"/>
    </xf>
    <xf numFmtId="169" fontId="9" fillId="7" borderId="31" xfId="0" applyNumberFormat="1" applyFont="1" applyFill="1" applyBorder="1" applyAlignment="1">
      <alignment horizontal="center"/>
    </xf>
    <xf numFmtId="169" fontId="9" fillId="7" borderId="47" xfId="0" applyNumberFormat="1" applyFont="1" applyFill="1" applyBorder="1" applyAlignment="1">
      <alignment horizontal="center"/>
    </xf>
    <xf numFmtId="169" fontId="9" fillId="7" borderId="59" xfId="0" applyNumberFormat="1" applyFont="1" applyFill="1" applyBorder="1" applyAlignment="1">
      <alignment horizontal="center"/>
    </xf>
    <xf numFmtId="169" fontId="9" fillId="22" borderId="31" xfId="0" applyNumberFormat="1" applyFont="1" applyFill="1" applyBorder="1" applyAlignment="1">
      <alignment horizontal="center"/>
    </xf>
    <xf numFmtId="169" fontId="9" fillId="22" borderId="47" xfId="0" applyNumberFormat="1" applyFont="1" applyFill="1" applyBorder="1" applyAlignment="1">
      <alignment horizontal="center"/>
    </xf>
    <xf numFmtId="169" fontId="9" fillId="22" borderId="59" xfId="0" applyNumberFormat="1" applyFont="1" applyFill="1" applyBorder="1" applyAlignment="1">
      <alignment horizontal="center"/>
    </xf>
    <xf numFmtId="169" fontId="9" fillId="8" borderId="25" xfId="0" applyNumberFormat="1" applyFont="1" applyFill="1" applyBorder="1" applyAlignment="1">
      <alignment horizontal="center"/>
    </xf>
    <xf numFmtId="169" fontId="9" fillId="8" borderId="47" xfId="0" applyNumberFormat="1" applyFont="1" applyFill="1" applyBorder="1" applyAlignment="1">
      <alignment horizontal="center"/>
    </xf>
    <xf numFmtId="169" fontId="9" fillId="8" borderId="13" xfId="0" applyNumberFormat="1" applyFont="1" applyFill="1" applyBorder="1" applyAlignment="1">
      <alignment horizontal="center"/>
    </xf>
    <xf numFmtId="169" fontId="9" fillId="26" borderId="25" xfId="0" applyNumberFormat="1" applyFont="1" applyFill="1" applyBorder="1" applyAlignment="1">
      <alignment horizontal="center"/>
    </xf>
    <xf numFmtId="169" fontId="9" fillId="26" borderId="47" xfId="0" applyNumberFormat="1" applyFont="1" applyFill="1" applyBorder="1" applyAlignment="1">
      <alignment horizontal="center"/>
    </xf>
    <xf numFmtId="169" fontId="9" fillId="26" borderId="13" xfId="0" applyNumberFormat="1" applyFont="1" applyFill="1" applyBorder="1" applyAlignment="1">
      <alignment horizontal="center"/>
    </xf>
    <xf numFmtId="0" fontId="9" fillId="7" borderId="38" xfId="0" applyFont="1" applyFill="1" applyBorder="1" applyAlignment="1">
      <alignment horizontal="center"/>
    </xf>
    <xf numFmtId="0" fontId="9" fillId="22" borderId="29" xfId="0" applyFont="1" applyFill="1" applyBorder="1" applyAlignment="1">
      <alignment horizontal="center"/>
    </xf>
    <xf numFmtId="0" fontId="9" fillId="8" borderId="12" xfId="0" applyFont="1" applyFill="1" applyBorder="1" applyAlignment="1">
      <alignment horizontal="center"/>
    </xf>
    <xf numFmtId="2" fontId="9" fillId="7" borderId="30" xfId="0" applyNumberFormat="1" applyFont="1" applyFill="1" applyBorder="1" applyAlignment="1">
      <alignment horizontal="center"/>
    </xf>
    <xf numFmtId="2" fontId="9" fillId="7" borderId="24" xfId="0" applyNumberFormat="1" applyFont="1" applyFill="1" applyBorder="1" applyAlignment="1">
      <alignment horizontal="center"/>
    </xf>
    <xf numFmtId="2" fontId="9" fillId="7" borderId="39" xfId="0" applyNumberFormat="1" applyFont="1" applyFill="1" applyBorder="1" applyAlignment="1">
      <alignment horizontal="center"/>
    </xf>
    <xf numFmtId="2" fontId="9" fillId="22" borderId="30" xfId="0" applyNumberFormat="1" applyFont="1" applyFill="1" applyBorder="1" applyAlignment="1">
      <alignment horizontal="center"/>
    </xf>
    <xf numFmtId="2" fontId="9" fillId="22" borderId="24" xfId="0" applyNumberFormat="1" applyFont="1" applyFill="1" applyBorder="1" applyAlignment="1">
      <alignment horizontal="center"/>
    </xf>
    <xf numFmtId="2" fontId="9" fillId="22" borderId="39" xfId="0" applyNumberFormat="1" applyFont="1" applyFill="1" applyBorder="1" applyAlignment="1">
      <alignment horizontal="center"/>
    </xf>
    <xf numFmtId="2" fontId="9" fillId="8" borderId="23" xfId="0" applyNumberFormat="1" applyFont="1" applyFill="1" applyBorder="1" applyAlignment="1">
      <alignment horizontal="center"/>
    </xf>
    <xf numFmtId="2" fontId="9" fillId="8" borderId="24" xfId="0" applyNumberFormat="1" applyFont="1" applyFill="1" applyBorder="1" applyAlignment="1">
      <alignment horizontal="center"/>
    </xf>
    <xf numFmtId="2" fontId="9" fillId="8" borderId="10" xfId="0" applyNumberFormat="1" applyFont="1" applyFill="1" applyBorder="1" applyAlignment="1">
      <alignment horizontal="center"/>
    </xf>
    <xf numFmtId="2" fontId="9" fillId="26" borderId="23" xfId="0" applyNumberFormat="1" applyFont="1" applyFill="1" applyBorder="1" applyAlignment="1">
      <alignment horizontal="center"/>
    </xf>
    <xf numFmtId="2" fontId="9" fillId="26" borderId="24" xfId="0" applyNumberFormat="1" applyFont="1" applyFill="1" applyBorder="1" applyAlignment="1">
      <alignment horizontal="center"/>
    </xf>
    <xf numFmtId="2" fontId="9" fillId="26" borderId="10" xfId="0" applyNumberFormat="1" applyFont="1" applyFill="1" applyBorder="1" applyAlignment="1">
      <alignment horizontal="center"/>
    </xf>
    <xf numFmtId="2" fontId="9" fillId="4" borderId="30" xfId="0" applyNumberFormat="1" applyFont="1" applyFill="1" applyBorder="1" applyAlignment="1">
      <alignment horizontal="center"/>
    </xf>
    <xf numFmtId="2" fontId="9" fillId="4" borderId="61" xfId="0" applyNumberFormat="1" applyFont="1" applyFill="1" applyBorder="1" applyAlignment="1">
      <alignment horizontal="center"/>
    </xf>
    <xf numFmtId="0" fontId="9" fillId="26" borderId="56" xfId="0" applyFont="1" applyFill="1" applyBorder="1" applyAlignment="1">
      <alignment horizontal="center"/>
    </xf>
    <xf numFmtId="0" fontId="9" fillId="26" borderId="50" xfId="0" applyFont="1" applyFill="1" applyBorder="1" applyAlignment="1">
      <alignment horizontal="center"/>
    </xf>
    <xf numFmtId="0" fontId="9" fillId="26" borderId="21" xfId="0" applyFont="1" applyFill="1" applyBorder="1" applyAlignment="1">
      <alignment horizontal="center"/>
    </xf>
    <xf numFmtId="0" fontId="9" fillId="26" borderId="12" xfId="0" applyFont="1" applyFill="1" applyBorder="1" applyAlignment="1">
      <alignment horizontal="center"/>
    </xf>
    <xf numFmtId="0" fontId="9" fillId="7" borderId="39" xfId="0" applyFont="1" applyFill="1" applyBorder="1" applyAlignment="1">
      <alignment horizontal="center"/>
    </xf>
    <xf numFmtId="0" fontId="9" fillId="22" borderId="30" xfId="0" applyFont="1" applyFill="1" applyBorder="1" applyAlignment="1">
      <alignment horizontal="center"/>
    </xf>
    <xf numFmtId="0" fontId="9" fillId="8" borderId="10" xfId="0" applyFont="1" applyFill="1" applyBorder="1" applyAlignment="1">
      <alignment horizontal="center"/>
    </xf>
    <xf numFmtId="0" fontId="9" fillId="26" borderId="23" xfId="0" applyFont="1" applyFill="1" applyBorder="1" applyAlignment="1">
      <alignment horizontal="center"/>
    </xf>
    <xf numFmtId="168" fontId="9" fillId="4" borderId="25" xfId="0" applyNumberFormat="1" applyFont="1" applyFill="1" applyBorder="1" applyAlignment="1">
      <alignment horizontal="center"/>
    </xf>
    <xf numFmtId="168" fontId="9" fillId="4" borderId="47" xfId="0" applyNumberFormat="1" applyFont="1" applyFill="1" applyBorder="1" applyAlignment="1">
      <alignment horizontal="center"/>
    </xf>
    <xf numFmtId="168" fontId="9" fillId="4" borderId="13" xfId="0" applyNumberFormat="1" applyFont="1" applyFill="1" applyBorder="1" applyAlignment="1">
      <alignment horizontal="center"/>
    </xf>
    <xf numFmtId="168" fontId="9" fillId="22" borderId="31" xfId="0" applyNumberFormat="1" applyFont="1" applyFill="1" applyBorder="1" applyAlignment="1">
      <alignment horizontal="center"/>
    </xf>
    <xf numFmtId="168" fontId="9" fillId="22" borderId="47" xfId="0" applyNumberFormat="1" applyFont="1" applyFill="1" applyBorder="1" applyAlignment="1">
      <alignment horizontal="center"/>
    </xf>
    <xf numFmtId="168" fontId="9" fillId="22" borderId="59" xfId="0" applyNumberFormat="1" applyFont="1" applyFill="1" applyBorder="1" applyAlignment="1">
      <alignment horizontal="center"/>
    </xf>
    <xf numFmtId="168" fontId="9" fillId="8" borderId="25" xfId="0" applyNumberFormat="1" applyFont="1" applyFill="1" applyBorder="1" applyAlignment="1">
      <alignment horizontal="center"/>
    </xf>
    <xf numFmtId="168" fontId="9" fillId="8" borderId="47" xfId="0" applyNumberFormat="1" applyFont="1" applyFill="1" applyBorder="1" applyAlignment="1">
      <alignment horizontal="center"/>
    </xf>
    <xf numFmtId="168" fontId="9" fillId="8" borderId="13" xfId="0" applyNumberFormat="1" applyFont="1" applyFill="1" applyBorder="1" applyAlignment="1">
      <alignment horizontal="center"/>
    </xf>
    <xf numFmtId="168" fontId="9" fillId="26" borderId="25" xfId="0" applyNumberFormat="1" applyFont="1" applyFill="1" applyBorder="1" applyAlignment="1">
      <alignment horizontal="center"/>
    </xf>
    <xf numFmtId="168" fontId="9" fillId="26" borderId="47" xfId="0" applyNumberFormat="1" applyFont="1" applyFill="1" applyBorder="1" applyAlignment="1">
      <alignment horizontal="center"/>
    </xf>
    <xf numFmtId="168" fontId="9" fillId="26" borderId="13" xfId="0" applyNumberFormat="1" applyFont="1" applyFill="1" applyBorder="1" applyAlignment="1">
      <alignment horizontal="center"/>
    </xf>
    <xf numFmtId="167" fontId="9" fillId="4" borderId="23" xfId="0" applyNumberFormat="1" applyFont="1" applyFill="1" applyBorder="1" applyAlignment="1">
      <alignment horizontal="center"/>
    </xf>
    <xf numFmtId="167" fontId="9" fillId="4" borderId="24" xfId="0" applyNumberFormat="1" applyFont="1" applyFill="1" applyBorder="1" applyAlignment="1">
      <alignment horizontal="center"/>
    </xf>
    <xf numFmtId="167" fontId="9" fillId="4" borderId="10" xfId="0" applyNumberFormat="1" applyFont="1" applyFill="1" applyBorder="1" applyAlignment="1">
      <alignment horizontal="center"/>
    </xf>
    <xf numFmtId="167" fontId="9" fillId="7" borderId="30" xfId="0" applyNumberFormat="1" applyFont="1" applyFill="1" applyBorder="1" applyAlignment="1">
      <alignment horizontal="center"/>
    </xf>
    <xf numFmtId="167" fontId="9" fillId="7" borderId="24" xfId="0" applyNumberFormat="1" applyFont="1" applyFill="1" applyBorder="1" applyAlignment="1">
      <alignment horizontal="center"/>
    </xf>
    <xf numFmtId="167" fontId="9" fillId="7" borderId="39" xfId="0" applyNumberFormat="1" applyFont="1" applyFill="1" applyBorder="1" applyAlignment="1">
      <alignment horizontal="center"/>
    </xf>
    <xf numFmtId="167" fontId="9" fillId="22" borderId="30" xfId="0" applyNumberFormat="1" applyFont="1" applyFill="1" applyBorder="1" applyAlignment="1">
      <alignment horizontal="center"/>
    </xf>
    <xf numFmtId="167" fontId="9" fillId="22" borderId="24" xfId="0" applyNumberFormat="1" applyFont="1" applyFill="1" applyBorder="1" applyAlignment="1">
      <alignment horizontal="center"/>
    </xf>
    <xf numFmtId="167" fontId="9" fillId="22" borderId="39" xfId="0" applyNumberFormat="1" applyFont="1" applyFill="1" applyBorder="1" applyAlignment="1">
      <alignment horizontal="center"/>
    </xf>
    <xf numFmtId="167" fontId="9" fillId="8" borderId="23" xfId="0" applyNumberFormat="1" applyFont="1" applyFill="1" applyBorder="1" applyAlignment="1">
      <alignment horizontal="center"/>
    </xf>
    <xf numFmtId="167" fontId="9" fillId="8" borderId="24" xfId="0" applyNumberFormat="1" applyFont="1" applyFill="1" applyBorder="1" applyAlignment="1">
      <alignment horizontal="center"/>
    </xf>
    <xf numFmtId="167" fontId="9" fillId="8" borderId="10" xfId="0" applyNumberFormat="1" applyFont="1" applyFill="1" applyBorder="1" applyAlignment="1">
      <alignment horizontal="center"/>
    </xf>
    <xf numFmtId="167" fontId="9" fillId="26" borderId="23" xfId="0" applyNumberFormat="1" applyFont="1" applyFill="1" applyBorder="1" applyAlignment="1">
      <alignment horizontal="center"/>
    </xf>
    <xf numFmtId="167" fontId="9" fillId="26" borderId="24" xfId="0" applyNumberFormat="1" applyFont="1" applyFill="1" applyBorder="1" applyAlignment="1">
      <alignment horizontal="center"/>
    </xf>
    <xf numFmtId="167" fontId="9" fillId="26" borderId="10" xfId="0" applyNumberFormat="1" applyFont="1" applyFill="1" applyBorder="1" applyAlignment="1">
      <alignment horizontal="center"/>
    </xf>
    <xf numFmtId="2" fontId="9" fillId="4" borderId="13" xfId="0" applyNumberFormat="1" applyFont="1" applyFill="1" applyBorder="1" applyAlignment="1">
      <alignment horizontal="center"/>
    </xf>
    <xf numFmtId="2" fontId="9" fillId="22" borderId="59" xfId="0" applyNumberFormat="1" applyFont="1" applyFill="1" applyBorder="1" applyAlignment="1">
      <alignment horizontal="center"/>
    </xf>
    <xf numFmtId="2" fontId="9" fillId="8" borderId="13" xfId="0" applyNumberFormat="1" applyFont="1" applyFill="1" applyBorder="1" applyAlignment="1">
      <alignment horizontal="center"/>
    </xf>
    <xf numFmtId="2" fontId="9" fillId="26" borderId="25" xfId="0" applyNumberFormat="1" applyFont="1" applyFill="1" applyBorder="1" applyAlignment="1">
      <alignment horizontal="center"/>
    </xf>
    <xf numFmtId="2" fontId="9" fillId="26" borderId="13" xfId="0" applyNumberFormat="1" applyFont="1" applyFill="1" applyBorder="1" applyAlignment="1">
      <alignment horizontal="center"/>
    </xf>
    <xf numFmtId="0" fontId="8" fillId="24" borderId="0" xfId="0" applyFont="1" applyFill="1" applyBorder="1" applyAlignment="1">
      <alignment horizontal="left"/>
    </xf>
    <xf numFmtId="0" fontId="8" fillId="20" borderId="40" xfId="0" applyFont="1" applyFill="1" applyBorder="1" applyAlignment="1">
      <alignment horizontal="left"/>
    </xf>
    <xf numFmtId="0" fontId="8" fillId="20" borderId="35" xfId="0" applyFont="1" applyFill="1" applyBorder="1" applyAlignment="1">
      <alignment horizontal="left"/>
    </xf>
    <xf numFmtId="0" fontId="8" fillId="20" borderId="41" xfId="0" applyFont="1" applyFill="1" applyBorder="1" applyAlignment="1">
      <alignment horizontal="left"/>
    </xf>
    <xf numFmtId="0" fontId="8" fillId="0" borderId="0" xfId="0" applyFont="1" applyBorder="1" applyAlignment="1">
      <alignment horizontal="left"/>
    </xf>
    <xf numFmtId="0" fontId="9" fillId="22" borderId="27" xfId="0" applyFont="1" applyFill="1" applyBorder="1" applyAlignment="1">
      <alignment horizontal="center"/>
    </xf>
    <xf numFmtId="0" fontId="9" fillId="8" borderId="27" xfId="0" applyFont="1" applyFill="1" applyBorder="1" applyAlignment="1">
      <alignment horizontal="center"/>
    </xf>
    <xf numFmtId="0" fontId="9" fillId="26" borderId="27" xfId="0" applyFont="1" applyFill="1" applyBorder="1" applyAlignment="1">
      <alignment horizontal="center"/>
    </xf>
    <xf numFmtId="0" fontId="15" fillId="0" borderId="0" xfId="0" applyFont="1" applyAlignment="1">
      <alignment/>
    </xf>
    <xf numFmtId="0" fontId="8" fillId="8" borderId="28" xfId="0" applyFont="1" applyFill="1" applyBorder="1" applyAlignment="1">
      <alignment horizontal="center" wrapText="1"/>
    </xf>
    <xf numFmtId="0" fontId="8" fillId="8" borderId="30" xfId="0" applyFont="1" applyFill="1" applyBorder="1" applyAlignment="1">
      <alignment horizontal="center"/>
    </xf>
    <xf numFmtId="1" fontId="9" fillId="8" borderId="28" xfId="0" applyNumberFormat="1" applyFont="1" applyFill="1" applyBorder="1" applyAlignment="1">
      <alignment horizontal="center"/>
    </xf>
    <xf numFmtId="165" fontId="9" fillId="8" borderId="28" xfId="0" applyNumberFormat="1" applyFont="1" applyFill="1" applyBorder="1" applyAlignment="1">
      <alignment horizontal="center"/>
    </xf>
    <xf numFmtId="0" fontId="9" fillId="8" borderId="29" xfId="0" applyFont="1" applyFill="1" applyBorder="1" applyAlignment="1">
      <alignment horizontal="center"/>
    </xf>
    <xf numFmtId="0" fontId="9" fillId="8" borderId="30" xfId="0" applyFont="1" applyFill="1" applyBorder="1" applyAlignment="1">
      <alignment horizontal="center"/>
    </xf>
    <xf numFmtId="0" fontId="9" fillId="8" borderId="28" xfId="0" applyFont="1" applyFill="1" applyBorder="1" applyAlignment="1">
      <alignment horizontal="center"/>
    </xf>
    <xf numFmtId="2" fontId="9" fillId="8" borderId="28" xfId="0" applyNumberFormat="1" applyFont="1" applyFill="1" applyBorder="1" applyAlignment="1">
      <alignment horizontal="center"/>
    </xf>
    <xf numFmtId="2" fontId="9" fillId="8" borderId="31" xfId="0" applyNumberFormat="1" applyFont="1" applyFill="1" applyBorder="1" applyAlignment="1">
      <alignment horizontal="center"/>
    </xf>
    <xf numFmtId="0" fontId="9" fillId="8" borderId="31" xfId="0" applyFont="1" applyFill="1" applyBorder="1" applyAlignment="1">
      <alignment horizontal="center"/>
    </xf>
    <xf numFmtId="0" fontId="9" fillId="8" borderId="60" xfId="0" applyFont="1" applyFill="1" applyBorder="1" applyAlignment="1">
      <alignment horizontal="center"/>
    </xf>
    <xf numFmtId="1" fontId="9" fillId="8" borderId="31" xfId="0" applyNumberFormat="1" applyFont="1" applyFill="1" applyBorder="1" applyAlignment="1">
      <alignment horizontal="center"/>
    </xf>
    <xf numFmtId="0" fontId="9" fillId="8" borderId="32" xfId="0" applyFont="1" applyFill="1" applyBorder="1" applyAlignment="1">
      <alignment horizontal="center"/>
    </xf>
    <xf numFmtId="2" fontId="9" fillId="22" borderId="11" xfId="0" applyNumberFormat="1" applyFont="1" applyFill="1" applyBorder="1" applyAlignment="1">
      <alignment horizontal="center"/>
    </xf>
    <xf numFmtId="2" fontId="9" fillId="22" borderId="13" xfId="0" applyNumberFormat="1" applyFont="1" applyFill="1" applyBorder="1" applyAlignment="1">
      <alignment horizontal="center"/>
    </xf>
    <xf numFmtId="0" fontId="9" fillId="22" borderId="25" xfId="0" applyFont="1" applyFill="1" applyBorder="1" applyAlignment="1">
      <alignment horizontal="center"/>
    </xf>
    <xf numFmtId="0" fontId="9" fillId="22" borderId="13" xfId="0" applyFont="1" applyFill="1" applyBorder="1" applyAlignment="1">
      <alignment horizontal="center"/>
    </xf>
    <xf numFmtId="0" fontId="9" fillId="22" borderId="56" xfId="0" applyFont="1" applyFill="1" applyBorder="1" applyAlignment="1">
      <alignment horizontal="center"/>
    </xf>
    <xf numFmtId="0" fontId="9" fillId="22" borderId="50" xfId="0" applyFont="1" applyFill="1" applyBorder="1" applyAlignment="1">
      <alignment horizontal="center"/>
    </xf>
    <xf numFmtId="1" fontId="9" fillId="22" borderId="25" xfId="0" applyNumberFormat="1" applyFont="1" applyFill="1" applyBorder="1" applyAlignment="1">
      <alignment horizontal="center"/>
    </xf>
    <xf numFmtId="1" fontId="9" fillId="22" borderId="13" xfId="0" applyNumberFormat="1" applyFont="1" applyFill="1" applyBorder="1" applyAlignment="1">
      <alignment horizontal="center"/>
    </xf>
    <xf numFmtId="0" fontId="9" fillId="22" borderId="26" xfId="0" applyFont="1" applyFill="1" applyBorder="1" applyAlignment="1">
      <alignment horizontal="center"/>
    </xf>
    <xf numFmtId="0" fontId="9" fillId="22" borderId="14" xfId="0" applyFont="1" applyFill="1" applyBorder="1" applyAlignment="1">
      <alignment horizontal="center"/>
    </xf>
    <xf numFmtId="0" fontId="8" fillId="20" borderId="33" xfId="0" applyFont="1" applyFill="1" applyBorder="1" applyAlignment="1">
      <alignment/>
    </xf>
    <xf numFmtId="0" fontId="9" fillId="20" borderId="36" xfId="0" applyFont="1" applyFill="1" applyBorder="1" applyAlignment="1">
      <alignment wrapText="1"/>
    </xf>
    <xf numFmtId="0" fontId="8" fillId="20" borderId="62" xfId="0" applyFont="1" applyFill="1" applyBorder="1" applyAlignment="1">
      <alignment wrapText="1"/>
    </xf>
    <xf numFmtId="0" fontId="8" fillId="7" borderId="30" xfId="0" applyFont="1" applyFill="1" applyBorder="1" applyAlignment="1">
      <alignment horizontal="center"/>
    </xf>
    <xf numFmtId="0" fontId="9" fillId="7" borderId="31" xfId="0" applyFont="1" applyFill="1" applyBorder="1" applyAlignment="1">
      <alignment horizontal="center"/>
    </xf>
    <xf numFmtId="0" fontId="8" fillId="4" borderId="23" xfId="0" applyFont="1" applyFill="1" applyBorder="1" applyAlignment="1">
      <alignment horizontal="center"/>
    </xf>
    <xf numFmtId="0" fontId="8" fillId="4" borderId="10" xfId="0" applyFont="1" applyFill="1" applyBorder="1" applyAlignment="1">
      <alignment horizontal="center"/>
    </xf>
    <xf numFmtId="165" fontId="9" fillId="4" borderId="25" xfId="0" applyNumberFormat="1" applyFont="1" applyFill="1" applyBorder="1" applyAlignment="1">
      <alignment horizontal="center"/>
    </xf>
    <xf numFmtId="165" fontId="9" fillId="4" borderId="13" xfId="0" applyNumberFormat="1" applyFont="1" applyFill="1" applyBorder="1" applyAlignment="1">
      <alignment horizontal="center"/>
    </xf>
    <xf numFmtId="0" fontId="8" fillId="8" borderId="39" xfId="0" applyFont="1" applyFill="1" applyBorder="1" applyAlignment="1">
      <alignment horizontal="center"/>
    </xf>
    <xf numFmtId="1" fontId="9" fillId="8" borderId="58" xfId="0" applyNumberFormat="1" applyFont="1" applyFill="1" applyBorder="1" applyAlignment="1">
      <alignment horizontal="center"/>
    </xf>
    <xf numFmtId="165" fontId="9" fillId="8" borderId="58" xfId="0" applyNumberFormat="1" applyFont="1" applyFill="1" applyBorder="1" applyAlignment="1">
      <alignment horizontal="center"/>
    </xf>
    <xf numFmtId="2" fontId="9" fillId="8" borderId="58" xfId="0" applyNumberFormat="1" applyFont="1" applyFill="1" applyBorder="1" applyAlignment="1">
      <alignment horizontal="center"/>
    </xf>
    <xf numFmtId="2" fontId="9" fillId="8" borderId="59" xfId="0" applyNumberFormat="1" applyFont="1" applyFill="1" applyBorder="1" applyAlignment="1">
      <alignment horizontal="center"/>
    </xf>
    <xf numFmtId="0" fontId="9" fillId="8" borderId="59" xfId="0" applyFont="1" applyFill="1" applyBorder="1" applyAlignment="1">
      <alignment horizontal="center"/>
    </xf>
    <xf numFmtId="0" fontId="9" fillId="8" borderId="63" xfId="0" applyFont="1" applyFill="1" applyBorder="1" applyAlignment="1">
      <alignment horizontal="center"/>
    </xf>
    <xf numFmtId="1" fontId="9" fillId="8" borderId="59" xfId="0" applyNumberFormat="1" applyFont="1" applyFill="1" applyBorder="1" applyAlignment="1">
      <alignment horizontal="center"/>
    </xf>
    <xf numFmtId="0" fontId="9" fillId="8" borderId="64" xfId="0" applyFont="1" applyFill="1" applyBorder="1" applyAlignment="1">
      <alignment horizontal="center"/>
    </xf>
    <xf numFmtId="0" fontId="8" fillId="26" borderId="23" xfId="0" applyFont="1" applyFill="1" applyBorder="1" applyAlignment="1">
      <alignment horizontal="center" wrapText="1"/>
    </xf>
    <xf numFmtId="0" fontId="8" fillId="26" borderId="23" xfId="0" applyFont="1" applyFill="1" applyBorder="1" applyAlignment="1">
      <alignment horizontal="center"/>
    </xf>
    <xf numFmtId="0" fontId="8" fillId="26" borderId="10" xfId="0" applyFont="1" applyFill="1" applyBorder="1" applyAlignment="1">
      <alignment horizontal="center"/>
    </xf>
    <xf numFmtId="0" fontId="9" fillId="26" borderId="35" xfId="0" applyFont="1" applyFill="1" applyBorder="1" applyAlignment="1">
      <alignment horizontal="center"/>
    </xf>
    <xf numFmtId="0" fontId="9" fillId="26" borderId="65" xfId="0" applyFont="1" applyFill="1" applyBorder="1" applyAlignment="1">
      <alignment horizontal="center"/>
    </xf>
    <xf numFmtId="0" fontId="9" fillId="26" borderId="25" xfId="0" applyFont="1" applyFill="1" applyBorder="1" applyAlignment="1">
      <alignment horizontal="center"/>
    </xf>
    <xf numFmtId="0" fontId="9" fillId="26" borderId="13" xfId="0" applyFont="1" applyFill="1" applyBorder="1" applyAlignment="1">
      <alignment horizontal="center"/>
    </xf>
    <xf numFmtId="0" fontId="9" fillId="26" borderId="26" xfId="0" applyFont="1" applyFill="1" applyBorder="1" applyAlignment="1">
      <alignment horizontal="center"/>
    </xf>
    <xf numFmtId="0" fontId="9" fillId="26" borderId="14" xfId="0" applyFont="1" applyFill="1" applyBorder="1" applyAlignment="1">
      <alignment horizontal="center"/>
    </xf>
    <xf numFmtId="0" fontId="8" fillId="7" borderId="49" xfId="0" applyFont="1" applyFill="1" applyBorder="1" applyAlignment="1">
      <alignment horizontal="center" wrapText="1"/>
    </xf>
    <xf numFmtId="0" fontId="8" fillId="22" borderId="45" xfId="0" applyFont="1" applyFill="1" applyBorder="1" applyAlignment="1">
      <alignment horizontal="center" wrapText="1"/>
    </xf>
    <xf numFmtId="0" fontId="8" fillId="22" borderId="49" xfId="0" applyFont="1" applyFill="1" applyBorder="1" applyAlignment="1">
      <alignment horizontal="center" wrapText="1"/>
    </xf>
    <xf numFmtId="0" fontId="8" fillId="8" borderId="55" xfId="0" applyFont="1" applyFill="1" applyBorder="1" applyAlignment="1">
      <alignment horizontal="center" wrapText="1"/>
    </xf>
    <xf numFmtId="0" fontId="8" fillId="8" borderId="57" xfId="0" applyFont="1" applyFill="1" applyBorder="1" applyAlignment="1">
      <alignment horizontal="center" wrapText="1"/>
    </xf>
    <xf numFmtId="0" fontId="8" fillId="26" borderId="45" xfId="0" applyFont="1" applyFill="1" applyBorder="1" applyAlignment="1">
      <alignment horizontal="center" wrapText="1"/>
    </xf>
    <xf numFmtId="0" fontId="8" fillId="0" borderId="0" xfId="0" applyFont="1" applyFill="1" applyAlignment="1">
      <alignment horizontal="center"/>
    </xf>
    <xf numFmtId="0" fontId="9" fillId="27" borderId="15" xfId="0" applyFont="1" applyFill="1" applyBorder="1" applyAlignment="1">
      <alignment horizontal="center"/>
    </xf>
    <xf numFmtId="1" fontId="9" fillId="27" borderId="15" xfId="0" applyNumberFormat="1" applyFont="1" applyFill="1" applyBorder="1" applyAlignment="1">
      <alignment horizontal="center"/>
    </xf>
    <xf numFmtId="1" fontId="9" fillId="27" borderId="28" xfId="0" applyNumberFormat="1" applyFont="1" applyFill="1" applyBorder="1" applyAlignment="1">
      <alignment horizontal="center"/>
    </xf>
    <xf numFmtId="1" fontId="9" fillId="27" borderId="20" xfId="0" applyNumberFormat="1" applyFont="1" applyFill="1" applyBorder="1" applyAlignment="1">
      <alignment horizontal="center"/>
    </xf>
    <xf numFmtId="1" fontId="9" fillId="27" borderId="11" xfId="0" applyNumberFormat="1" applyFont="1" applyFill="1" applyBorder="1" applyAlignment="1">
      <alignment horizontal="center"/>
    </xf>
    <xf numFmtId="1" fontId="9" fillId="27" borderId="58" xfId="0" applyNumberFormat="1" applyFont="1" applyFill="1" applyBorder="1" applyAlignment="1">
      <alignment horizontal="center"/>
    </xf>
    <xf numFmtId="0" fontId="16" fillId="20" borderId="35" xfId="0" applyFont="1" applyFill="1" applyBorder="1" applyAlignment="1">
      <alignment horizontal="left"/>
    </xf>
    <xf numFmtId="0" fontId="17" fillId="0" borderId="0" xfId="0" applyFont="1" applyFill="1" applyAlignment="1">
      <alignment/>
    </xf>
    <xf numFmtId="0" fontId="17" fillId="0" borderId="0" xfId="0" applyFont="1" applyAlignment="1">
      <alignment/>
    </xf>
    <xf numFmtId="0" fontId="15" fillId="4" borderId="15" xfId="0" applyFont="1" applyFill="1" applyBorder="1" applyAlignment="1">
      <alignment horizontal="center"/>
    </xf>
    <xf numFmtId="0" fontId="15" fillId="4" borderId="20" xfId="0" applyFont="1" applyFill="1" applyBorder="1" applyAlignment="1">
      <alignment horizontal="center"/>
    </xf>
    <xf numFmtId="0" fontId="15" fillId="4" borderId="11" xfId="0" applyFont="1" applyFill="1" applyBorder="1" applyAlignment="1">
      <alignment horizontal="center"/>
    </xf>
    <xf numFmtId="2" fontId="15" fillId="7" borderId="28" xfId="0" applyNumberFormat="1" applyFont="1" applyFill="1" applyBorder="1" applyAlignment="1">
      <alignment horizontal="center"/>
    </xf>
    <xf numFmtId="2" fontId="15" fillId="22" borderId="15" xfId="0" applyNumberFormat="1" applyFont="1" applyFill="1" applyBorder="1" applyAlignment="1">
      <alignment horizontal="center"/>
    </xf>
    <xf numFmtId="2" fontId="15" fillId="22" borderId="20" xfId="0" applyNumberFormat="1" applyFont="1" applyFill="1" applyBorder="1" applyAlignment="1">
      <alignment horizontal="center"/>
    </xf>
    <xf numFmtId="2" fontId="15" fillId="22" borderId="11" xfId="0" applyNumberFormat="1" applyFont="1" applyFill="1" applyBorder="1" applyAlignment="1">
      <alignment horizontal="center"/>
    </xf>
    <xf numFmtId="2" fontId="15" fillId="26" borderId="15" xfId="0" applyNumberFormat="1" applyFont="1" applyFill="1" applyBorder="1" applyAlignment="1">
      <alignment horizontal="center"/>
    </xf>
    <xf numFmtId="2" fontId="15" fillId="26" borderId="20" xfId="0" applyNumberFormat="1" applyFont="1" applyFill="1" applyBorder="1" applyAlignment="1">
      <alignment horizontal="center"/>
    </xf>
    <xf numFmtId="2" fontId="15" fillId="26" borderId="11" xfId="0" applyNumberFormat="1" applyFont="1" applyFill="1" applyBorder="1" applyAlignment="1">
      <alignment horizontal="center"/>
    </xf>
    <xf numFmtId="0" fontId="15" fillId="20" borderId="66" xfId="0" applyFont="1" applyFill="1" applyBorder="1" applyAlignment="1">
      <alignment horizontal="center" wrapText="1"/>
    </xf>
    <xf numFmtId="0" fontId="15" fillId="4" borderId="25" xfId="0" applyFont="1" applyFill="1" applyBorder="1" applyAlignment="1">
      <alignment horizontal="center"/>
    </xf>
    <xf numFmtId="0" fontId="15" fillId="4" borderId="47" xfId="0" applyFont="1" applyFill="1" applyBorder="1" applyAlignment="1">
      <alignment horizontal="center"/>
    </xf>
    <xf numFmtId="0" fontId="15" fillId="4" borderId="13" xfId="0" applyFont="1" applyFill="1" applyBorder="1" applyAlignment="1">
      <alignment horizontal="center"/>
    </xf>
    <xf numFmtId="0" fontId="15" fillId="7" borderId="31" xfId="0" applyFont="1" applyFill="1" applyBorder="1" applyAlignment="1">
      <alignment horizontal="center"/>
    </xf>
    <xf numFmtId="0" fontId="15" fillId="7" borderId="47" xfId="0" applyFont="1" applyFill="1" applyBorder="1" applyAlignment="1">
      <alignment horizontal="center"/>
    </xf>
    <xf numFmtId="0" fontId="15" fillId="22" borderId="25" xfId="0" applyFont="1" applyFill="1" applyBorder="1" applyAlignment="1">
      <alignment horizontal="center"/>
    </xf>
    <xf numFmtId="0" fontId="15" fillId="22" borderId="47" xfId="0" applyFont="1" applyFill="1" applyBorder="1" applyAlignment="1">
      <alignment horizontal="center"/>
    </xf>
    <xf numFmtId="0" fontId="15" fillId="22" borderId="13" xfId="0" applyFont="1" applyFill="1" applyBorder="1" applyAlignment="1">
      <alignment horizontal="center"/>
    </xf>
    <xf numFmtId="0" fontId="18" fillId="20" borderId="67" xfId="0" applyFont="1" applyFill="1" applyBorder="1" applyAlignment="1">
      <alignment horizontal="center"/>
    </xf>
    <xf numFmtId="0" fontId="15" fillId="20" borderId="68" xfId="0" applyFont="1" applyFill="1" applyBorder="1" applyAlignment="1">
      <alignment horizontal="center" wrapText="1"/>
    </xf>
    <xf numFmtId="0" fontId="15" fillId="20" borderId="19" xfId="0" applyFont="1" applyFill="1" applyBorder="1" applyAlignment="1">
      <alignment horizontal="center" wrapText="1"/>
    </xf>
    <xf numFmtId="0" fontId="15" fillId="20" borderId="67" xfId="0" applyFont="1" applyFill="1" applyBorder="1" applyAlignment="1">
      <alignment horizontal="center" wrapText="1"/>
    </xf>
    <xf numFmtId="0" fontId="15" fillId="20" borderId="69" xfId="0" applyFont="1" applyFill="1" applyBorder="1" applyAlignment="1">
      <alignment horizontal="center" wrapText="1"/>
    </xf>
    <xf numFmtId="0" fontId="15" fillId="20" borderId="18" xfId="0" applyFont="1" applyFill="1" applyBorder="1" applyAlignment="1">
      <alignment horizontal="center" wrapText="1"/>
    </xf>
    <xf numFmtId="0" fontId="15" fillId="0" borderId="0" xfId="0" applyFont="1" applyAlignment="1">
      <alignment horizontal="center"/>
    </xf>
    <xf numFmtId="0" fontId="15" fillId="0" borderId="0" xfId="0" applyFont="1" applyAlignment="1">
      <alignment horizontal="left"/>
    </xf>
    <xf numFmtId="0" fontId="15" fillId="24" borderId="0" xfId="0" applyFont="1" applyFill="1" applyAlignment="1">
      <alignment horizontal="left"/>
    </xf>
    <xf numFmtId="0" fontId="20" fillId="0" borderId="0" xfId="0" applyFont="1" applyFill="1" applyAlignment="1">
      <alignment/>
    </xf>
    <xf numFmtId="165" fontId="9" fillId="8" borderId="31" xfId="0" applyNumberFormat="1" applyFont="1" applyFill="1" applyBorder="1" applyAlignment="1">
      <alignment horizontal="center"/>
    </xf>
    <xf numFmtId="2" fontId="15" fillId="4" borderId="25" xfId="0" applyNumberFormat="1" applyFont="1" applyFill="1" applyBorder="1" applyAlignment="1">
      <alignment horizontal="center"/>
    </xf>
    <xf numFmtId="2" fontId="15" fillId="4" borderId="47" xfId="0" applyNumberFormat="1" applyFont="1" applyFill="1" applyBorder="1" applyAlignment="1">
      <alignment horizontal="center"/>
    </xf>
    <xf numFmtId="2" fontId="15" fillId="4" borderId="13" xfId="0" applyNumberFormat="1" applyFont="1" applyFill="1" applyBorder="1" applyAlignment="1">
      <alignment horizontal="center"/>
    </xf>
    <xf numFmtId="2" fontId="15" fillId="7" borderId="31" xfId="0" applyNumberFormat="1" applyFont="1" applyFill="1" applyBorder="1" applyAlignment="1">
      <alignment horizontal="center"/>
    </xf>
    <xf numFmtId="2" fontId="15" fillId="7" borderId="47" xfId="0" applyNumberFormat="1" applyFont="1" applyFill="1" applyBorder="1" applyAlignment="1">
      <alignment horizontal="center"/>
    </xf>
    <xf numFmtId="2" fontId="15" fillId="22" borderId="25" xfId="0" applyNumberFormat="1" applyFont="1" applyFill="1" applyBorder="1" applyAlignment="1">
      <alignment horizontal="center"/>
    </xf>
    <xf numFmtId="2" fontId="15" fillId="22" borderId="47" xfId="0" applyNumberFormat="1" applyFont="1" applyFill="1" applyBorder="1" applyAlignment="1">
      <alignment horizontal="center"/>
    </xf>
    <xf numFmtId="2" fontId="15" fillId="22" borderId="13" xfId="0" applyNumberFormat="1" applyFont="1" applyFill="1" applyBorder="1" applyAlignment="1">
      <alignment horizontal="center"/>
    </xf>
    <xf numFmtId="2" fontId="15" fillId="8" borderId="31" xfId="0" applyNumberFormat="1" applyFont="1" applyFill="1" applyBorder="1" applyAlignment="1">
      <alignment horizontal="center"/>
    </xf>
    <xf numFmtId="2" fontId="15" fillId="8" borderId="47" xfId="0" applyNumberFormat="1" applyFont="1" applyFill="1" applyBorder="1" applyAlignment="1">
      <alignment horizontal="center"/>
    </xf>
    <xf numFmtId="2" fontId="15" fillId="8" borderId="59" xfId="0" applyNumberFormat="1" applyFont="1" applyFill="1" applyBorder="1" applyAlignment="1">
      <alignment horizontal="center"/>
    </xf>
    <xf numFmtId="2" fontId="15" fillId="26" borderId="25" xfId="0" applyNumberFormat="1" applyFont="1" applyFill="1" applyBorder="1" applyAlignment="1">
      <alignment horizontal="center"/>
    </xf>
    <xf numFmtId="2" fontId="15" fillId="26" borderId="47" xfId="0" applyNumberFormat="1" applyFont="1" applyFill="1" applyBorder="1" applyAlignment="1">
      <alignment horizontal="center"/>
    </xf>
    <xf numFmtId="2" fontId="15" fillId="26" borderId="59" xfId="0" applyNumberFormat="1" applyFont="1" applyFill="1" applyBorder="1" applyAlignment="1">
      <alignment horizontal="center"/>
    </xf>
    <xf numFmtId="0" fontId="9" fillId="23" borderId="34" xfId="0" applyFont="1" applyFill="1" applyBorder="1" applyAlignment="1">
      <alignment horizontal="right" wrapText="1"/>
    </xf>
    <xf numFmtId="0" fontId="9" fillId="0" borderId="70" xfId="0" applyFont="1" applyFill="1" applyBorder="1" applyAlignment="1">
      <alignment wrapText="1"/>
    </xf>
    <xf numFmtId="165" fontId="9" fillId="22" borderId="23" xfId="0" applyNumberFormat="1" applyFont="1" applyFill="1" applyBorder="1" applyAlignment="1">
      <alignment horizontal="center"/>
    </xf>
    <xf numFmtId="165" fontId="9" fillId="22" borderId="10" xfId="0" applyNumberFormat="1" applyFont="1" applyFill="1" applyBorder="1" applyAlignment="1">
      <alignment horizontal="center"/>
    </xf>
    <xf numFmtId="165" fontId="9" fillId="8" borderId="30" xfId="0" applyNumberFormat="1" applyFont="1" applyFill="1" applyBorder="1" applyAlignment="1">
      <alignment horizontal="center"/>
    </xf>
    <xf numFmtId="165" fontId="9" fillId="8" borderId="39" xfId="0" applyNumberFormat="1" applyFont="1" applyFill="1" applyBorder="1" applyAlignment="1">
      <alignment horizontal="center"/>
    </xf>
    <xf numFmtId="165" fontId="15" fillId="4" borderId="15" xfId="0" applyNumberFormat="1" applyFont="1" applyFill="1" applyBorder="1" applyAlignment="1">
      <alignment horizontal="center"/>
    </xf>
    <xf numFmtId="165" fontId="15" fillId="4" borderId="20" xfId="0" applyNumberFormat="1" applyFont="1" applyFill="1" applyBorder="1" applyAlignment="1">
      <alignment horizontal="center"/>
    </xf>
    <xf numFmtId="165" fontId="15" fillId="4" borderId="11" xfId="0" applyNumberFormat="1" applyFont="1" applyFill="1" applyBorder="1" applyAlignment="1">
      <alignment horizontal="center"/>
    </xf>
    <xf numFmtId="165" fontId="15" fillId="7" borderId="28" xfId="0" applyNumberFormat="1" applyFont="1" applyFill="1" applyBorder="1" applyAlignment="1">
      <alignment horizontal="center"/>
    </xf>
    <xf numFmtId="165" fontId="15" fillId="7" borderId="20" xfId="0" applyNumberFormat="1" applyFont="1" applyFill="1" applyBorder="1" applyAlignment="1">
      <alignment horizontal="center"/>
    </xf>
    <xf numFmtId="165" fontId="15" fillId="22" borderId="15" xfId="0" applyNumberFormat="1" applyFont="1" applyFill="1" applyBorder="1" applyAlignment="1">
      <alignment horizontal="center"/>
    </xf>
    <xf numFmtId="165" fontId="15" fillId="22" borderId="20" xfId="0" applyNumberFormat="1" applyFont="1" applyFill="1" applyBorder="1" applyAlignment="1">
      <alignment horizontal="center"/>
    </xf>
    <xf numFmtId="165" fontId="15" fillId="22" borderId="11" xfId="0" applyNumberFormat="1" applyFont="1" applyFill="1" applyBorder="1" applyAlignment="1">
      <alignment horizontal="center"/>
    </xf>
    <xf numFmtId="165" fontId="15" fillId="8" borderId="28" xfId="0" applyNumberFormat="1" applyFont="1" applyFill="1" applyBorder="1" applyAlignment="1">
      <alignment horizontal="center"/>
    </xf>
    <xf numFmtId="165" fontId="15" fillId="8" borderId="20" xfId="0" applyNumberFormat="1" applyFont="1" applyFill="1" applyBorder="1" applyAlignment="1">
      <alignment horizontal="center"/>
    </xf>
    <xf numFmtId="165" fontId="15" fillId="8" borderId="58" xfId="0" applyNumberFormat="1" applyFont="1" applyFill="1" applyBorder="1" applyAlignment="1">
      <alignment horizontal="center"/>
    </xf>
    <xf numFmtId="165" fontId="15" fillId="26" borderId="15" xfId="0" applyNumberFormat="1" applyFont="1" applyFill="1" applyBorder="1" applyAlignment="1">
      <alignment horizontal="center"/>
    </xf>
    <xf numFmtId="0" fontId="15" fillId="26" borderId="20" xfId="0" applyFont="1" applyFill="1" applyBorder="1" applyAlignment="1">
      <alignment horizontal="center"/>
    </xf>
    <xf numFmtId="0" fontId="15" fillId="26" borderId="11" xfId="0" applyFont="1" applyFill="1" applyBorder="1" applyAlignment="1">
      <alignment horizontal="center"/>
    </xf>
    <xf numFmtId="181" fontId="9" fillId="4" borderId="20" xfId="42" applyNumberFormat="1" applyFont="1" applyFill="1" applyBorder="1" applyAlignment="1">
      <alignment/>
    </xf>
    <xf numFmtId="181" fontId="9" fillId="4" borderId="11" xfId="42" applyNumberFormat="1" applyFont="1" applyFill="1" applyBorder="1" applyAlignment="1">
      <alignment/>
    </xf>
    <xf numFmtId="181" fontId="9" fillId="7" borderId="28" xfId="0" applyNumberFormat="1" applyFont="1" applyFill="1" applyBorder="1" applyAlignment="1">
      <alignment/>
    </xf>
    <xf numFmtId="181" fontId="9" fillId="7" borderId="20" xfId="0" applyNumberFormat="1" applyFont="1" applyFill="1" applyBorder="1" applyAlignment="1">
      <alignment/>
    </xf>
    <xf numFmtId="181" fontId="9" fillId="22" borderId="15" xfId="0" applyNumberFormat="1" applyFont="1" applyFill="1" applyBorder="1" applyAlignment="1">
      <alignment/>
    </xf>
    <xf numFmtId="181" fontId="9" fillId="22" borderId="20" xfId="0" applyNumberFormat="1" applyFont="1" applyFill="1" applyBorder="1" applyAlignment="1">
      <alignment/>
    </xf>
    <xf numFmtId="181" fontId="9" fillId="22" borderId="11" xfId="0" applyNumberFormat="1" applyFont="1" applyFill="1" applyBorder="1" applyAlignment="1">
      <alignment/>
    </xf>
    <xf numFmtId="181" fontId="9" fillId="8" borderId="28" xfId="0" applyNumberFormat="1" applyFont="1" applyFill="1" applyBorder="1" applyAlignment="1">
      <alignment/>
    </xf>
    <xf numFmtId="181" fontId="9" fillId="8" borderId="20" xfId="0" applyNumberFormat="1" applyFont="1" applyFill="1" applyBorder="1" applyAlignment="1">
      <alignment/>
    </xf>
    <xf numFmtId="181" fontId="9" fillId="8" borderId="58" xfId="0" applyNumberFormat="1" applyFont="1" applyFill="1" applyBorder="1" applyAlignment="1">
      <alignment/>
    </xf>
    <xf numFmtId="181" fontId="9" fillId="26" borderId="15" xfId="0" applyNumberFormat="1" applyFont="1" applyFill="1" applyBorder="1" applyAlignment="1">
      <alignment/>
    </xf>
    <xf numFmtId="181" fontId="9" fillId="26" borderId="20" xfId="0" applyNumberFormat="1" applyFont="1" applyFill="1" applyBorder="1" applyAlignment="1">
      <alignment/>
    </xf>
    <xf numFmtId="181" fontId="9" fillId="26" borderId="11" xfId="0" applyNumberFormat="1" applyFont="1" applyFill="1" applyBorder="1" applyAlignment="1">
      <alignment/>
    </xf>
    <xf numFmtId="0" fontId="15" fillId="0" borderId="11" xfId="0" applyFont="1" applyFill="1" applyBorder="1" applyAlignment="1">
      <alignment wrapText="1"/>
    </xf>
    <xf numFmtId="0" fontId="9" fillId="0" borderId="11" xfId="0" applyFont="1" applyFill="1" applyBorder="1" applyAlignment="1">
      <alignment wrapText="1"/>
    </xf>
    <xf numFmtId="0" fontId="9" fillId="0" borderId="0" xfId="0" applyFont="1" applyFill="1" applyBorder="1" applyAlignment="1">
      <alignment/>
    </xf>
    <xf numFmtId="0" fontId="15" fillId="0" borderId="0" xfId="0" applyFont="1" applyFill="1" applyBorder="1" applyAlignment="1">
      <alignment horizontal="left"/>
    </xf>
    <xf numFmtId="181" fontId="13" fillId="0" borderId="0" xfId="42" applyNumberFormat="1" applyFont="1" applyFill="1" applyBorder="1" applyAlignment="1">
      <alignment horizontal="center"/>
    </xf>
    <xf numFmtId="181" fontId="13" fillId="0" borderId="0" xfId="0" applyNumberFormat="1" applyFont="1" applyFill="1" applyBorder="1" applyAlignment="1">
      <alignment horizontal="center"/>
    </xf>
    <xf numFmtId="3" fontId="9" fillId="4" borderId="58" xfId="0" applyNumberFormat="1" applyFont="1" applyFill="1" applyBorder="1" applyAlignment="1">
      <alignment horizontal="center"/>
    </xf>
    <xf numFmtId="3" fontId="9" fillId="7" borderId="15" xfId="0" applyNumberFormat="1" applyFont="1" applyFill="1" applyBorder="1" applyAlignment="1">
      <alignment horizontal="center"/>
    </xf>
    <xf numFmtId="3" fontId="9" fillId="7" borderId="11" xfId="0" applyNumberFormat="1" applyFont="1" applyFill="1" applyBorder="1" applyAlignment="1">
      <alignment horizontal="center"/>
    </xf>
    <xf numFmtId="3" fontId="9" fillId="26" borderId="28" xfId="0" applyNumberFormat="1" applyFont="1" applyFill="1" applyBorder="1" applyAlignment="1">
      <alignment horizontal="center"/>
    </xf>
    <xf numFmtId="2" fontId="9" fillId="4" borderId="58" xfId="0" applyNumberFormat="1" applyFont="1" applyFill="1" applyBorder="1" applyAlignment="1">
      <alignment horizontal="center"/>
    </xf>
    <xf numFmtId="2" fontId="9" fillId="7" borderId="15" xfId="0" applyNumberFormat="1" applyFont="1" applyFill="1" applyBorder="1" applyAlignment="1">
      <alignment horizontal="center"/>
    </xf>
    <xf numFmtId="2" fontId="9" fillId="7" borderId="11" xfId="0" applyNumberFormat="1" applyFont="1" applyFill="1" applyBorder="1" applyAlignment="1">
      <alignment horizontal="center"/>
    </xf>
    <xf numFmtId="2" fontId="9" fillId="26" borderId="28" xfId="0" applyNumberFormat="1" applyFont="1" applyFill="1" applyBorder="1" applyAlignment="1">
      <alignment horizontal="center"/>
    </xf>
    <xf numFmtId="2" fontId="9" fillId="4" borderId="59" xfId="0" applyNumberFormat="1" applyFont="1" applyFill="1" applyBorder="1" applyAlignment="1">
      <alignment horizontal="center"/>
    </xf>
    <xf numFmtId="2" fontId="9" fillId="7" borderId="25" xfId="0" applyNumberFormat="1" applyFont="1" applyFill="1" applyBorder="1" applyAlignment="1">
      <alignment horizontal="center"/>
    </xf>
    <xf numFmtId="2" fontId="9" fillId="7" borderId="13" xfId="0" applyNumberFormat="1" applyFont="1" applyFill="1" applyBorder="1" applyAlignment="1">
      <alignment horizontal="center"/>
    </xf>
    <xf numFmtId="2" fontId="9" fillId="26" borderId="31" xfId="0" applyNumberFormat="1" applyFont="1" applyFill="1" applyBorder="1" applyAlignment="1">
      <alignment horizontal="center"/>
    </xf>
    <xf numFmtId="0" fontId="18" fillId="20" borderId="53" xfId="0" applyFont="1" applyFill="1" applyBorder="1" applyAlignment="1">
      <alignment horizontal="right"/>
    </xf>
    <xf numFmtId="3" fontId="18" fillId="4" borderId="23" xfId="0" applyNumberFormat="1" applyFont="1" applyFill="1" applyBorder="1" applyAlignment="1">
      <alignment horizontal="center"/>
    </xf>
    <xf numFmtId="3" fontId="18" fillId="4" borderId="24" xfId="0" applyNumberFormat="1" applyFont="1" applyFill="1" applyBorder="1" applyAlignment="1">
      <alignment horizontal="center"/>
    </xf>
    <xf numFmtId="3" fontId="18" fillId="4" borderId="10" xfId="0" applyNumberFormat="1" applyFont="1" applyFill="1" applyBorder="1" applyAlignment="1">
      <alignment horizontal="center"/>
    </xf>
    <xf numFmtId="3" fontId="18" fillId="7" borderId="30" xfId="0" applyNumberFormat="1" applyFont="1" applyFill="1" applyBorder="1" applyAlignment="1">
      <alignment horizontal="center"/>
    </xf>
    <xf numFmtId="3" fontId="18" fillId="7" borderId="24" xfId="0" applyNumberFormat="1" applyFont="1" applyFill="1" applyBorder="1" applyAlignment="1">
      <alignment horizontal="center"/>
    </xf>
    <xf numFmtId="3" fontId="18" fillId="7" borderId="10" xfId="0" applyNumberFormat="1" applyFont="1" applyFill="1" applyBorder="1" applyAlignment="1">
      <alignment horizontal="center"/>
    </xf>
    <xf numFmtId="0" fontId="15" fillId="20" borderId="0" xfId="0" applyFont="1" applyFill="1" applyBorder="1" applyAlignment="1">
      <alignment horizontal="right"/>
    </xf>
    <xf numFmtId="3" fontId="15" fillId="4" borderId="15" xfId="0" applyNumberFormat="1" applyFont="1" applyFill="1" applyBorder="1" applyAlignment="1">
      <alignment horizontal="center"/>
    </xf>
    <xf numFmtId="3" fontId="15" fillId="4" borderId="20" xfId="0" applyNumberFormat="1" applyFont="1" applyFill="1" applyBorder="1" applyAlignment="1">
      <alignment horizontal="center"/>
    </xf>
    <xf numFmtId="3" fontId="15" fillId="4" borderId="11" xfId="0" applyNumberFormat="1" applyFont="1" applyFill="1" applyBorder="1" applyAlignment="1">
      <alignment horizontal="center"/>
    </xf>
    <xf numFmtId="3" fontId="15" fillId="7" borderId="28" xfId="0" applyNumberFormat="1" applyFont="1" applyFill="1" applyBorder="1" applyAlignment="1">
      <alignment horizontal="center"/>
    </xf>
    <xf numFmtId="3" fontId="15" fillId="7" borderId="20" xfId="0" applyNumberFormat="1" applyFont="1" applyFill="1" applyBorder="1" applyAlignment="1">
      <alignment horizontal="center"/>
    </xf>
    <xf numFmtId="3" fontId="15" fillId="7" borderId="11" xfId="0" applyNumberFormat="1" applyFont="1" applyFill="1" applyBorder="1" applyAlignment="1">
      <alignment horizontal="center"/>
    </xf>
    <xf numFmtId="3" fontId="15" fillId="4" borderId="45" xfId="0" applyNumberFormat="1" applyFont="1" applyFill="1" applyBorder="1" applyAlignment="1">
      <alignment horizontal="center"/>
    </xf>
    <xf numFmtId="3" fontId="15" fillId="4" borderId="46" xfId="0" applyNumberFormat="1" applyFont="1" applyFill="1" applyBorder="1" applyAlignment="1">
      <alignment horizontal="center"/>
    </xf>
    <xf numFmtId="3" fontId="15" fillId="4" borderId="49" xfId="0" applyNumberFormat="1" applyFont="1" applyFill="1" applyBorder="1" applyAlignment="1">
      <alignment horizontal="center"/>
    </xf>
    <xf numFmtId="3" fontId="15" fillId="7" borderId="55" xfId="0" applyNumberFormat="1" applyFont="1" applyFill="1" applyBorder="1" applyAlignment="1">
      <alignment horizontal="center"/>
    </xf>
    <xf numFmtId="3" fontId="15" fillId="7" borderId="46" xfId="0" applyNumberFormat="1" applyFont="1" applyFill="1" applyBorder="1" applyAlignment="1">
      <alignment horizontal="center"/>
    </xf>
    <xf numFmtId="3" fontId="15" fillId="7" borderId="49" xfId="0" applyNumberFormat="1" applyFont="1" applyFill="1" applyBorder="1" applyAlignment="1">
      <alignment horizontal="center"/>
    </xf>
    <xf numFmtId="164" fontId="8" fillId="4" borderId="23" xfId="0" applyNumberFormat="1" applyFont="1" applyFill="1" applyBorder="1" applyAlignment="1">
      <alignment horizontal="center"/>
    </xf>
    <xf numFmtId="164" fontId="8" fillId="4" borderId="24" xfId="0" applyNumberFormat="1" applyFont="1" applyFill="1" applyBorder="1" applyAlignment="1">
      <alignment horizontal="center"/>
    </xf>
    <xf numFmtId="164" fontId="8" fillId="4" borderId="10" xfId="0" applyNumberFormat="1" applyFont="1" applyFill="1" applyBorder="1" applyAlignment="1">
      <alignment horizontal="center"/>
    </xf>
    <xf numFmtId="164" fontId="8" fillId="7" borderId="30" xfId="0" applyNumberFormat="1" applyFont="1" applyFill="1" applyBorder="1" applyAlignment="1">
      <alignment horizontal="center"/>
    </xf>
    <xf numFmtId="164" fontId="8" fillId="7" borderId="24" xfId="0" applyNumberFormat="1" applyFont="1" applyFill="1" applyBorder="1" applyAlignment="1">
      <alignment horizontal="center"/>
    </xf>
    <xf numFmtId="164" fontId="8" fillId="7" borderId="10" xfId="0" applyNumberFormat="1" applyFont="1" applyFill="1" applyBorder="1" applyAlignment="1">
      <alignment horizontal="center"/>
    </xf>
    <xf numFmtId="0" fontId="8" fillId="4" borderId="25" xfId="0" applyFont="1" applyFill="1" applyBorder="1" applyAlignment="1">
      <alignment horizontal="center"/>
    </xf>
    <xf numFmtId="0" fontId="8" fillId="4" borderId="47" xfId="0" applyFont="1" applyFill="1" applyBorder="1" applyAlignment="1">
      <alignment horizontal="center"/>
    </xf>
    <xf numFmtId="0" fontId="8" fillId="4" borderId="13" xfId="0" applyFont="1" applyFill="1" applyBorder="1" applyAlignment="1">
      <alignment horizontal="center"/>
    </xf>
    <xf numFmtId="0" fontId="8" fillId="7" borderId="31" xfId="0" applyFont="1" applyFill="1" applyBorder="1" applyAlignment="1">
      <alignment horizontal="center"/>
    </xf>
    <xf numFmtId="0" fontId="8" fillId="7" borderId="47" xfId="0" applyFont="1" applyFill="1" applyBorder="1" applyAlignment="1">
      <alignment horizontal="center"/>
    </xf>
    <xf numFmtId="0" fontId="8" fillId="7" borderId="13" xfId="0" applyFont="1" applyFill="1" applyBorder="1" applyAlignment="1">
      <alignment horizontal="center"/>
    </xf>
    <xf numFmtId="3" fontId="9" fillId="4" borderId="56" xfId="0" applyNumberFormat="1" applyFont="1" applyFill="1" applyBorder="1" applyAlignment="1">
      <alignment horizontal="center"/>
    </xf>
    <xf numFmtId="3" fontId="9" fillId="4" borderId="48" xfId="0" applyNumberFormat="1" applyFont="1" applyFill="1" applyBorder="1" applyAlignment="1">
      <alignment horizontal="center"/>
    </xf>
    <xf numFmtId="3" fontId="9" fillId="4" borderId="63" xfId="0" applyNumberFormat="1" applyFont="1" applyFill="1" applyBorder="1" applyAlignment="1">
      <alignment horizontal="center"/>
    </xf>
    <xf numFmtId="3" fontId="9" fillId="7" borderId="56" xfId="0" applyNumberFormat="1" applyFont="1" applyFill="1" applyBorder="1" applyAlignment="1">
      <alignment horizontal="center"/>
    </xf>
    <xf numFmtId="3" fontId="9" fillId="7" borderId="48" xfId="0" applyNumberFormat="1" applyFont="1" applyFill="1" applyBorder="1" applyAlignment="1">
      <alignment horizontal="center"/>
    </xf>
    <xf numFmtId="3" fontId="9" fillId="7" borderId="50" xfId="0" applyNumberFormat="1" applyFont="1" applyFill="1" applyBorder="1" applyAlignment="1">
      <alignment horizontal="center"/>
    </xf>
    <xf numFmtId="4" fontId="9" fillId="4" borderId="58" xfId="0" applyNumberFormat="1" applyFont="1" applyFill="1" applyBorder="1" applyAlignment="1">
      <alignment horizontal="center"/>
    </xf>
    <xf numFmtId="4" fontId="9" fillId="7" borderId="15" xfId="0" applyNumberFormat="1" applyFont="1" applyFill="1" applyBorder="1" applyAlignment="1">
      <alignment horizontal="center"/>
    </xf>
    <xf numFmtId="4" fontId="9" fillId="7" borderId="11" xfId="0" applyNumberFormat="1" applyFont="1" applyFill="1" applyBorder="1" applyAlignment="1">
      <alignment horizontal="center"/>
    </xf>
    <xf numFmtId="0" fontId="15" fillId="20" borderId="54" xfId="0" applyFont="1" applyFill="1" applyBorder="1" applyAlignment="1">
      <alignment horizontal="right"/>
    </xf>
    <xf numFmtId="4" fontId="9" fillId="4" borderId="59" xfId="0" applyNumberFormat="1" applyFont="1" applyFill="1" applyBorder="1" applyAlignment="1">
      <alignment horizontal="center"/>
    </xf>
    <xf numFmtId="4" fontId="9" fillId="7" borderId="25" xfId="0" applyNumberFormat="1" applyFont="1" applyFill="1" applyBorder="1" applyAlignment="1">
      <alignment horizontal="center"/>
    </xf>
    <xf numFmtId="4" fontId="9" fillId="7" borderId="13" xfId="0" applyNumberFormat="1" applyFont="1" applyFill="1" applyBorder="1" applyAlignment="1">
      <alignment horizontal="center"/>
    </xf>
    <xf numFmtId="3" fontId="18" fillId="22" borderId="23" xfId="0" applyNumberFormat="1" applyFont="1" applyFill="1" applyBorder="1" applyAlignment="1">
      <alignment horizontal="center"/>
    </xf>
    <xf numFmtId="3" fontId="18" fillId="22" borderId="24" xfId="0" applyNumberFormat="1" applyFont="1" applyFill="1" applyBorder="1" applyAlignment="1">
      <alignment horizontal="center"/>
    </xf>
    <xf numFmtId="3" fontId="18" fillId="22" borderId="10" xfId="0" applyNumberFormat="1" applyFont="1" applyFill="1" applyBorder="1" applyAlignment="1">
      <alignment horizontal="center"/>
    </xf>
    <xf numFmtId="3" fontId="18" fillId="26" borderId="30" xfId="0" applyNumberFormat="1" applyFont="1" applyFill="1" applyBorder="1" applyAlignment="1">
      <alignment horizontal="center"/>
    </xf>
    <xf numFmtId="3" fontId="18" fillId="26" borderId="24" xfId="0" applyNumberFormat="1" applyFont="1" applyFill="1" applyBorder="1" applyAlignment="1">
      <alignment horizontal="center"/>
    </xf>
    <xf numFmtId="3" fontId="18" fillId="26" borderId="10" xfId="0" applyNumberFormat="1" applyFont="1" applyFill="1" applyBorder="1" applyAlignment="1">
      <alignment horizontal="center"/>
    </xf>
    <xf numFmtId="3" fontId="15" fillId="22" borderId="15" xfId="0" applyNumberFormat="1" applyFont="1" applyFill="1" applyBorder="1" applyAlignment="1">
      <alignment horizontal="center"/>
    </xf>
    <xf numFmtId="3" fontId="15" fillId="22" borderId="20" xfId="0" applyNumberFormat="1" applyFont="1" applyFill="1" applyBorder="1" applyAlignment="1">
      <alignment horizontal="center"/>
    </xf>
    <xf numFmtId="3" fontId="15" fillId="22" borderId="11" xfId="0" applyNumberFormat="1" applyFont="1" applyFill="1" applyBorder="1" applyAlignment="1">
      <alignment horizontal="center"/>
    </xf>
    <xf numFmtId="3" fontId="15" fillId="26" borderId="28" xfId="0" applyNumberFormat="1" applyFont="1" applyFill="1" applyBorder="1" applyAlignment="1">
      <alignment horizontal="center"/>
    </xf>
    <xf numFmtId="3" fontId="15" fillId="26" borderId="20" xfId="0" applyNumberFormat="1" applyFont="1" applyFill="1" applyBorder="1" applyAlignment="1">
      <alignment horizontal="center"/>
    </xf>
    <xf numFmtId="3" fontId="15" fillId="26" borderId="11" xfId="0" applyNumberFormat="1" applyFont="1" applyFill="1" applyBorder="1" applyAlignment="1">
      <alignment horizontal="center"/>
    </xf>
    <xf numFmtId="3" fontId="15" fillId="22" borderId="45" xfId="0" applyNumberFormat="1" applyFont="1" applyFill="1" applyBorder="1" applyAlignment="1">
      <alignment horizontal="center"/>
    </xf>
    <xf numFmtId="3" fontId="15" fillId="22" borderId="46" xfId="0" applyNumberFormat="1" applyFont="1" applyFill="1" applyBorder="1" applyAlignment="1">
      <alignment horizontal="center"/>
    </xf>
    <xf numFmtId="3" fontId="15" fillId="22" borderId="49" xfId="0" applyNumberFormat="1" applyFont="1" applyFill="1" applyBorder="1" applyAlignment="1">
      <alignment horizontal="center"/>
    </xf>
    <xf numFmtId="3" fontId="15" fillId="26" borderId="55" xfId="0" applyNumberFormat="1" applyFont="1" applyFill="1" applyBorder="1" applyAlignment="1">
      <alignment horizontal="center"/>
    </xf>
    <xf numFmtId="3" fontId="15" fillId="26" borderId="46" xfId="0" applyNumberFormat="1" applyFont="1" applyFill="1" applyBorder="1" applyAlignment="1">
      <alignment horizontal="center"/>
    </xf>
    <xf numFmtId="3" fontId="15" fillId="26" borderId="49" xfId="0" applyNumberFormat="1" applyFont="1" applyFill="1" applyBorder="1" applyAlignment="1">
      <alignment horizontal="center"/>
    </xf>
    <xf numFmtId="164" fontId="8" fillId="22" borderId="23" xfId="0" applyNumberFormat="1" applyFont="1" applyFill="1" applyBorder="1" applyAlignment="1">
      <alignment horizontal="center"/>
    </xf>
    <xf numFmtId="164" fontId="8" fillId="22" borderId="24" xfId="0" applyNumberFormat="1" applyFont="1" applyFill="1" applyBorder="1" applyAlignment="1">
      <alignment horizontal="center"/>
    </xf>
    <xf numFmtId="164" fontId="8" fillId="22" borderId="10" xfId="0" applyNumberFormat="1" applyFont="1" applyFill="1" applyBorder="1" applyAlignment="1">
      <alignment horizontal="center"/>
    </xf>
    <xf numFmtId="164" fontId="8" fillId="26" borderId="30" xfId="0" applyNumberFormat="1" applyFont="1" applyFill="1" applyBorder="1" applyAlignment="1">
      <alignment horizontal="center"/>
    </xf>
    <xf numFmtId="164" fontId="8" fillId="26" borderId="24" xfId="0" applyNumberFormat="1" applyFont="1" applyFill="1" applyBorder="1" applyAlignment="1">
      <alignment horizontal="center"/>
    </xf>
    <xf numFmtId="164" fontId="8" fillId="26" borderId="10" xfId="0" applyNumberFormat="1" applyFont="1" applyFill="1" applyBorder="1" applyAlignment="1">
      <alignment horizontal="center"/>
    </xf>
    <xf numFmtId="0" fontId="8" fillId="22" borderId="25" xfId="0" applyFont="1" applyFill="1" applyBorder="1" applyAlignment="1">
      <alignment horizontal="center"/>
    </xf>
    <xf numFmtId="0" fontId="8" fillId="22" borderId="47" xfId="0" applyFont="1" applyFill="1" applyBorder="1" applyAlignment="1">
      <alignment horizontal="center"/>
    </xf>
    <xf numFmtId="0" fontId="8" fillId="22" borderId="13" xfId="0" applyFont="1" applyFill="1" applyBorder="1" applyAlignment="1">
      <alignment horizontal="center"/>
    </xf>
    <xf numFmtId="0" fontId="8" fillId="26" borderId="31" xfId="0" applyFont="1" applyFill="1" applyBorder="1" applyAlignment="1">
      <alignment horizontal="center"/>
    </xf>
    <xf numFmtId="0" fontId="8" fillId="26" borderId="47" xfId="0" applyFont="1" applyFill="1" applyBorder="1" applyAlignment="1">
      <alignment horizontal="center"/>
    </xf>
    <xf numFmtId="0" fontId="8" fillId="26" borderId="13" xfId="0" applyFont="1" applyFill="1" applyBorder="1" applyAlignment="1">
      <alignment horizontal="center"/>
    </xf>
    <xf numFmtId="3" fontId="9" fillId="22" borderId="56" xfId="0" applyNumberFormat="1" applyFont="1" applyFill="1" applyBorder="1" applyAlignment="1">
      <alignment horizontal="center"/>
    </xf>
    <xf numFmtId="3" fontId="9" fillId="22" borderId="48" xfId="0" applyNumberFormat="1" applyFont="1" applyFill="1" applyBorder="1" applyAlignment="1">
      <alignment horizontal="center"/>
    </xf>
    <xf numFmtId="3" fontId="9" fillId="22" borderId="50" xfId="0" applyNumberFormat="1" applyFont="1" applyFill="1" applyBorder="1" applyAlignment="1">
      <alignment horizontal="center"/>
    </xf>
    <xf numFmtId="3" fontId="9" fillId="26" borderId="60" xfId="0" applyNumberFormat="1" applyFont="1" applyFill="1" applyBorder="1" applyAlignment="1">
      <alignment horizontal="center"/>
    </xf>
    <xf numFmtId="3" fontId="9" fillId="26" borderId="48" xfId="0" applyNumberFormat="1" applyFont="1" applyFill="1" applyBorder="1" applyAlignment="1">
      <alignment horizontal="center"/>
    </xf>
    <xf numFmtId="3" fontId="9" fillId="26" borderId="50" xfId="0" applyNumberFormat="1" applyFont="1" applyFill="1" applyBorder="1" applyAlignment="1">
      <alignment horizontal="center"/>
    </xf>
    <xf numFmtId="4" fontId="9" fillId="22" borderId="15" xfId="0" applyNumberFormat="1" applyFont="1" applyFill="1" applyBorder="1" applyAlignment="1">
      <alignment horizontal="center"/>
    </xf>
    <xf numFmtId="4" fontId="9" fillId="22" borderId="11" xfId="0" applyNumberFormat="1" applyFont="1" applyFill="1" applyBorder="1" applyAlignment="1">
      <alignment horizontal="center"/>
    </xf>
    <xf numFmtId="4" fontId="9" fillId="26" borderId="28" xfId="0" applyNumberFormat="1" applyFont="1" applyFill="1" applyBorder="1" applyAlignment="1">
      <alignment horizontal="center"/>
    </xf>
    <xf numFmtId="4" fontId="9" fillId="22" borderId="25" xfId="0" applyNumberFormat="1" applyFont="1" applyFill="1" applyBorder="1" applyAlignment="1">
      <alignment horizontal="center"/>
    </xf>
    <xf numFmtId="4" fontId="9" fillId="22" borderId="13" xfId="0" applyNumberFormat="1" applyFont="1" applyFill="1" applyBorder="1" applyAlignment="1">
      <alignment horizontal="center"/>
    </xf>
    <xf numFmtId="4" fontId="9" fillId="26" borderId="31" xfId="0" applyNumberFormat="1" applyFont="1" applyFill="1" applyBorder="1" applyAlignment="1">
      <alignment horizontal="center"/>
    </xf>
    <xf numFmtId="167" fontId="9" fillId="7" borderId="15" xfId="0" applyNumberFormat="1" applyFont="1" applyFill="1" applyBorder="1" applyAlignment="1">
      <alignment horizontal="center"/>
    </xf>
    <xf numFmtId="167" fontId="9" fillId="7" borderId="20" xfId="0" applyNumberFormat="1" applyFont="1" applyFill="1" applyBorder="1" applyAlignment="1">
      <alignment horizontal="center"/>
    </xf>
    <xf numFmtId="167" fontId="9" fillId="7" borderId="11" xfId="0" applyNumberFormat="1" applyFont="1" applyFill="1" applyBorder="1" applyAlignment="1">
      <alignment horizontal="center"/>
    </xf>
    <xf numFmtId="170" fontId="9" fillId="7" borderId="31" xfId="0" applyNumberFormat="1" applyFont="1" applyFill="1" applyBorder="1" applyAlignment="1">
      <alignment horizontal="center"/>
    </xf>
    <xf numFmtId="170" fontId="9" fillId="7" borderId="47" xfId="0" applyNumberFormat="1" applyFont="1" applyFill="1" applyBorder="1" applyAlignment="1">
      <alignment horizontal="center"/>
    </xf>
    <xf numFmtId="170" fontId="9" fillId="7" borderId="59" xfId="0" applyNumberFormat="1" applyFont="1" applyFill="1" applyBorder="1" applyAlignment="1">
      <alignment horizontal="center"/>
    </xf>
    <xf numFmtId="3" fontId="9" fillId="26" borderId="58" xfId="0" applyNumberFormat="1" applyFont="1" applyFill="1" applyBorder="1" applyAlignment="1">
      <alignment horizontal="center"/>
    </xf>
    <xf numFmtId="2" fontId="9" fillId="26" borderId="58" xfId="0" applyNumberFormat="1" applyFont="1" applyFill="1" applyBorder="1" applyAlignment="1">
      <alignment horizontal="center"/>
    </xf>
    <xf numFmtId="3" fontId="9" fillId="0" borderId="38" xfId="0" applyNumberFormat="1" applyFont="1" applyFill="1" applyBorder="1" applyAlignment="1">
      <alignment horizontal="center"/>
    </xf>
    <xf numFmtId="2" fontId="9" fillId="0" borderId="38" xfId="0" applyNumberFormat="1" applyFont="1" applyFill="1" applyBorder="1" applyAlignment="1">
      <alignment horizontal="center"/>
    </xf>
    <xf numFmtId="0" fontId="8" fillId="20" borderId="54" xfId="0" applyFont="1" applyFill="1" applyBorder="1" applyAlignment="1">
      <alignment horizontal="right"/>
    </xf>
    <xf numFmtId="0" fontId="9" fillId="0" borderId="59" xfId="0" applyFont="1" applyFill="1" applyBorder="1" applyAlignment="1">
      <alignment wrapText="1"/>
    </xf>
    <xf numFmtId="0" fontId="9" fillId="0" borderId="38" xfId="0" applyFont="1" applyBorder="1" applyAlignment="1">
      <alignment wrapText="1"/>
    </xf>
    <xf numFmtId="0" fontId="9" fillId="0" borderId="39" xfId="0" applyFont="1" applyBorder="1" applyAlignment="1">
      <alignment wrapText="1"/>
    </xf>
    <xf numFmtId="0" fontId="9" fillId="0" borderId="58" xfId="0" applyFont="1" applyBorder="1" applyAlignment="1">
      <alignment wrapText="1"/>
    </xf>
    <xf numFmtId="0" fontId="12" fillId="0" borderId="38" xfId="0" applyFont="1" applyFill="1" applyBorder="1" applyAlignment="1">
      <alignment/>
    </xf>
    <xf numFmtId="0" fontId="9" fillId="0" borderId="38" xfId="0" applyFont="1" applyFill="1" applyBorder="1" applyAlignment="1">
      <alignment/>
    </xf>
    <xf numFmtId="0" fontId="9" fillId="0" borderId="38" xfId="0" applyFont="1" applyFill="1" applyBorder="1" applyAlignment="1">
      <alignment wrapText="1"/>
    </xf>
    <xf numFmtId="20" fontId="15" fillId="0" borderId="0" xfId="0" applyNumberFormat="1" applyFont="1" applyAlignment="1">
      <alignment/>
    </xf>
    <xf numFmtId="0" fontId="0" fillId="0" borderId="0" xfId="0" applyFont="1" applyAlignment="1">
      <alignment/>
    </xf>
    <xf numFmtId="168" fontId="9" fillId="0" borderId="0" xfId="0" applyNumberFormat="1" applyFont="1" applyAlignment="1">
      <alignment horizontal="center"/>
    </xf>
    <xf numFmtId="0" fontId="8" fillId="0" borderId="0" xfId="0" applyFont="1" applyAlignment="1">
      <alignment horizontal="center"/>
    </xf>
    <xf numFmtId="168" fontId="8" fillId="0" borderId="0" xfId="0" applyNumberFormat="1" applyFont="1" applyAlignment="1">
      <alignment horizontal="center"/>
    </xf>
    <xf numFmtId="168" fontId="12" fillId="0" borderId="0" xfId="0" applyNumberFormat="1" applyFont="1" applyAlignment="1">
      <alignment horizontal="center"/>
    </xf>
    <xf numFmtId="2" fontId="9" fillId="0" borderId="0" xfId="0" applyNumberFormat="1" applyFont="1" applyAlignment="1">
      <alignment horizontal="center"/>
    </xf>
    <xf numFmtId="0" fontId="9" fillId="0" borderId="0" xfId="0" applyFont="1" applyBorder="1" applyAlignment="1">
      <alignment horizontal="right"/>
    </xf>
    <xf numFmtId="165" fontId="9" fillId="0" borderId="0" xfId="0" applyNumberFormat="1" applyFont="1" applyAlignment="1">
      <alignment horizontal="center"/>
    </xf>
    <xf numFmtId="0" fontId="38" fillId="0" borderId="0" xfId="0" applyFont="1" applyBorder="1" applyAlignment="1">
      <alignment horizontal="left"/>
    </xf>
    <xf numFmtId="0" fontId="39" fillId="0" borderId="0" xfId="0" applyFont="1" applyFill="1" applyBorder="1" applyAlignment="1">
      <alignment horizontal="right"/>
    </xf>
    <xf numFmtId="2" fontId="39" fillId="0" borderId="0" xfId="0" applyNumberFormat="1" applyFont="1" applyAlignment="1">
      <alignment horizontal="center"/>
    </xf>
    <xf numFmtId="170" fontId="9" fillId="0" borderId="0" xfId="0" applyNumberFormat="1" applyFont="1" applyAlignment="1">
      <alignment horizontal="center"/>
    </xf>
    <xf numFmtId="1" fontId="9" fillId="0" borderId="0" xfId="0" applyNumberFormat="1" applyFont="1" applyBorder="1" applyAlignment="1">
      <alignment horizontal="center"/>
    </xf>
    <xf numFmtId="1" fontId="9" fillId="0" borderId="0" xfId="0" applyNumberFormat="1" applyFont="1" applyAlignment="1">
      <alignment horizontal="center"/>
    </xf>
    <xf numFmtId="0" fontId="40" fillId="0" borderId="0" xfId="0" applyFont="1" applyFill="1" applyBorder="1" applyAlignment="1">
      <alignment horizontal="right"/>
    </xf>
    <xf numFmtId="1" fontId="12" fillId="0" borderId="0" xfId="0" applyNumberFormat="1" applyFont="1" applyAlignment="1">
      <alignment horizontal="center"/>
    </xf>
    <xf numFmtId="2" fontId="12" fillId="0" borderId="0" xfId="0" applyNumberFormat="1" applyFont="1" applyAlignment="1">
      <alignment horizontal="center"/>
    </xf>
    <xf numFmtId="0" fontId="5" fillId="24" borderId="0" xfId="0" applyFont="1" applyFill="1" applyBorder="1" applyAlignment="1">
      <alignment horizontal="center"/>
    </xf>
    <xf numFmtId="0" fontId="8" fillId="7" borderId="71" xfId="0" applyFont="1" applyFill="1" applyBorder="1" applyAlignment="1">
      <alignment horizontal="center" wrapText="1"/>
    </xf>
    <xf numFmtId="0" fontId="8" fillId="20" borderId="37" xfId="0" applyFont="1" applyFill="1" applyBorder="1" applyAlignment="1">
      <alignment horizontal="left"/>
    </xf>
    <xf numFmtId="0" fontId="8" fillId="20" borderId="72" xfId="0" applyFont="1" applyFill="1" applyBorder="1" applyAlignment="1">
      <alignment horizontal="left"/>
    </xf>
    <xf numFmtId="0" fontId="8" fillId="20" borderId="73" xfId="0" applyFont="1" applyFill="1" applyBorder="1" applyAlignment="1">
      <alignment horizontal="left"/>
    </xf>
    <xf numFmtId="0" fontId="8" fillId="4" borderId="23" xfId="0" applyFont="1" applyFill="1" applyBorder="1" applyAlignment="1">
      <alignment horizontal="center" wrapText="1"/>
    </xf>
    <xf numFmtId="0" fontId="8" fillId="4" borderId="24" xfId="0" applyFont="1" applyFill="1" applyBorder="1" applyAlignment="1">
      <alignment horizontal="center" wrapText="1"/>
    </xf>
    <xf numFmtId="0" fontId="8" fillId="4" borderId="10" xfId="0" applyFont="1" applyFill="1" applyBorder="1" applyAlignment="1">
      <alignment horizontal="center" wrapText="1"/>
    </xf>
    <xf numFmtId="0" fontId="8" fillId="4" borderId="20" xfId="0" applyFont="1" applyFill="1" applyBorder="1" applyAlignment="1">
      <alignment horizontal="center" wrapText="1"/>
    </xf>
    <xf numFmtId="0" fontId="8" fillId="4" borderId="11" xfId="0" applyFont="1" applyFill="1" applyBorder="1" applyAlignment="1">
      <alignment horizontal="center" wrapText="1"/>
    </xf>
    <xf numFmtId="0" fontId="8" fillId="7" borderId="20" xfId="0" applyFont="1" applyFill="1" applyBorder="1" applyAlignment="1">
      <alignment horizontal="center" wrapText="1"/>
    </xf>
    <xf numFmtId="0" fontId="8" fillId="7" borderId="58" xfId="0" applyFont="1" applyFill="1" applyBorder="1" applyAlignment="1">
      <alignment horizontal="center" wrapText="1"/>
    </xf>
    <xf numFmtId="0" fontId="8" fillId="26" borderId="71" xfId="0" applyFont="1" applyFill="1" applyBorder="1" applyAlignment="1">
      <alignment horizontal="center" wrapText="1"/>
    </xf>
    <xf numFmtId="0" fontId="8" fillId="26" borderId="61" xfId="0" applyFont="1" applyFill="1" applyBorder="1" applyAlignment="1">
      <alignment horizontal="center" wrapText="1"/>
    </xf>
    <xf numFmtId="0" fontId="8" fillId="8" borderId="33" xfId="0" applyFont="1" applyFill="1" applyBorder="1" applyAlignment="1">
      <alignment horizontal="center" wrapText="1"/>
    </xf>
    <xf numFmtId="0" fontId="8" fillId="8" borderId="71" xfId="0" applyFont="1" applyFill="1" applyBorder="1" applyAlignment="1">
      <alignment horizontal="center" wrapText="1"/>
    </xf>
    <xf numFmtId="0" fontId="8" fillId="8" borderId="61" xfId="0" applyFont="1" applyFill="1" applyBorder="1" applyAlignment="1">
      <alignment horizontal="center" wrapText="1"/>
    </xf>
    <xf numFmtId="0" fontId="8" fillId="22" borderId="71" xfId="0" applyFont="1" applyFill="1" applyBorder="1" applyAlignment="1">
      <alignment horizontal="center" wrapText="1"/>
    </xf>
    <xf numFmtId="0" fontId="8" fillId="22" borderId="58" xfId="0" applyFont="1" applyFill="1" applyBorder="1" applyAlignment="1">
      <alignment horizontal="center" wrapText="1"/>
    </xf>
    <xf numFmtId="0" fontId="8" fillId="22" borderId="70" xfId="0" applyFont="1" applyFill="1" applyBorder="1" applyAlignment="1">
      <alignment horizontal="center" wrapText="1"/>
    </xf>
    <xf numFmtId="0" fontId="8" fillId="8" borderId="58" xfId="0" applyFont="1" applyFill="1" applyBorder="1" applyAlignment="1">
      <alignment horizontal="center" wrapText="1"/>
    </xf>
    <xf numFmtId="0" fontId="8" fillId="8" borderId="70" xfId="0" applyFont="1" applyFill="1" applyBorder="1" applyAlignment="1">
      <alignment horizontal="center" wrapText="1"/>
    </xf>
    <xf numFmtId="0" fontId="8" fillId="8" borderId="74" xfId="0" applyFont="1" applyFill="1" applyBorder="1" applyAlignment="1">
      <alignment horizontal="center" wrapText="1"/>
    </xf>
    <xf numFmtId="0" fontId="8" fillId="26" borderId="58" xfId="0" applyFont="1" applyFill="1" applyBorder="1" applyAlignment="1">
      <alignment horizontal="center" wrapText="1"/>
    </xf>
    <xf numFmtId="0" fontId="8" fillId="26" borderId="70" xfId="0" applyFont="1" applyFill="1" applyBorder="1" applyAlignment="1">
      <alignment horizontal="center" wrapText="1"/>
    </xf>
    <xf numFmtId="0" fontId="8" fillId="26" borderId="74" xfId="0" applyFont="1" applyFill="1" applyBorder="1" applyAlignment="1">
      <alignment horizontal="center" wrapText="1"/>
    </xf>
    <xf numFmtId="0" fontId="8" fillId="8" borderId="20" xfId="0" applyFont="1" applyFill="1" applyBorder="1" applyAlignment="1">
      <alignment horizontal="center" wrapText="1"/>
    </xf>
    <xf numFmtId="0" fontId="8" fillId="22" borderId="33" xfId="0" applyFont="1" applyFill="1" applyBorder="1" applyAlignment="1">
      <alignment horizontal="center" wrapText="1"/>
    </xf>
    <xf numFmtId="0" fontId="8" fillId="22" borderId="61" xfId="0" applyFont="1" applyFill="1" applyBorder="1" applyAlignment="1">
      <alignment horizontal="center" wrapText="1"/>
    </xf>
    <xf numFmtId="0" fontId="10" fillId="23" borderId="37" xfId="0" applyFont="1" applyFill="1" applyBorder="1" applyAlignment="1">
      <alignment horizontal="left"/>
    </xf>
    <xf numFmtId="0" fontId="10" fillId="23" borderId="72" xfId="0" applyFont="1" applyFill="1" applyBorder="1" applyAlignment="1">
      <alignment horizontal="left"/>
    </xf>
    <xf numFmtId="0" fontId="10" fillId="23" borderId="73" xfId="0" applyFont="1" applyFill="1" applyBorder="1" applyAlignment="1">
      <alignment horizontal="left"/>
    </xf>
    <xf numFmtId="0" fontId="8" fillId="7" borderId="11" xfId="0" applyFont="1" applyFill="1" applyBorder="1" applyAlignment="1">
      <alignment horizontal="center" wrapText="1"/>
    </xf>
    <xf numFmtId="0" fontId="8" fillId="7" borderId="61" xfId="0" applyFont="1" applyFill="1" applyBorder="1" applyAlignment="1">
      <alignment horizontal="center" wrapText="1"/>
    </xf>
    <xf numFmtId="0" fontId="8" fillId="26" borderId="24" xfId="0" applyFont="1" applyFill="1" applyBorder="1" applyAlignment="1">
      <alignment horizontal="center" wrapText="1"/>
    </xf>
    <xf numFmtId="0" fontId="8" fillId="26" borderId="10" xfId="0" applyFont="1" applyFill="1" applyBorder="1" applyAlignment="1">
      <alignment horizontal="center" wrapText="1"/>
    </xf>
    <xf numFmtId="0" fontId="8" fillId="26" borderId="53" xfId="0" applyFont="1" applyFill="1" applyBorder="1" applyAlignment="1">
      <alignment horizontal="center" wrapText="1"/>
    </xf>
    <xf numFmtId="0" fontId="8" fillId="20" borderId="17" xfId="0" applyFont="1" applyFill="1" applyBorder="1" applyAlignment="1">
      <alignment horizontal="center" vertical="center" wrapText="1"/>
    </xf>
    <xf numFmtId="0" fontId="8" fillId="20" borderId="19" xfId="0" applyFont="1" applyFill="1" applyBorder="1" applyAlignment="1">
      <alignment horizontal="center" vertical="center" wrapText="1"/>
    </xf>
    <xf numFmtId="0" fontId="8" fillId="20" borderId="75" xfId="0" applyFont="1" applyFill="1" applyBorder="1" applyAlignment="1">
      <alignment horizontal="center" vertical="center" wrapText="1"/>
    </xf>
    <xf numFmtId="0" fontId="8" fillId="0" borderId="44" xfId="0" applyFont="1" applyBorder="1" applyAlignment="1">
      <alignment horizontal="center" vertical="center" wrapText="1"/>
    </xf>
    <xf numFmtId="0" fontId="8" fillId="0" borderId="12" xfId="0" applyFont="1" applyBorder="1" applyAlignment="1">
      <alignment horizontal="center" vertical="center" wrapText="1"/>
    </xf>
    <xf numFmtId="0" fontId="8" fillId="22" borderId="20" xfId="0" applyFont="1" applyFill="1" applyBorder="1" applyAlignment="1">
      <alignment horizontal="center" wrapText="1"/>
    </xf>
    <xf numFmtId="0" fontId="8" fillId="22" borderId="11" xfId="0" applyFont="1" applyFill="1" applyBorder="1" applyAlignment="1">
      <alignment horizont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xfId="42"/>
    <cellStyle name="Comma [0]" xfId="43"/>
    <cellStyle name="Commentaire" xfId="44"/>
    <cellStyle name="Currency" xfId="45"/>
    <cellStyle name="Currency [0]" xfId="46"/>
    <cellStyle name="Entrée" xfId="47"/>
    <cellStyle name="Followed Hyperlink" xfId="48"/>
    <cellStyle name="Hyperlink" xfId="49"/>
    <cellStyle name="Insatisfaisant"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
    <dxf>
      <font>
        <b/>
        <i val="0"/>
        <color rgb="FFFF0000"/>
      </font>
      <border/>
    </dxf>
    <dxf>
      <font>
        <b/>
        <i val="0"/>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104775</xdr:colOff>
      <xdr:row>12</xdr:row>
      <xdr:rowOff>0</xdr:rowOff>
    </xdr:from>
    <xdr:ext cx="85725" cy="190500"/>
    <xdr:sp fLocksText="0">
      <xdr:nvSpPr>
        <xdr:cNvPr id="1" name="Text Box 26"/>
        <xdr:cNvSpPr txBox="1">
          <a:spLocks noChangeArrowheads="1"/>
        </xdr:cNvSpPr>
      </xdr:nvSpPr>
      <xdr:spPr>
        <a:xfrm>
          <a:off x="6448425" y="3028950"/>
          <a:ext cx="857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ndr&#233;\Energie\rapportage%20art%2019-2\rendement%20RW%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uverture"/>
      <sheetName val="C-PROV-3-FR"/>
      <sheetName val="C-PROV-4-FR"/>
      <sheetName val="Feuil1"/>
    </sheetNames>
    <sheetDataSet>
      <sheetData sheetId="1">
        <row r="14">
          <cell r="F14">
            <v>87.8</v>
          </cell>
          <cell r="I14">
            <v>87.2</v>
          </cell>
          <cell r="L14">
            <v>92</v>
          </cell>
          <cell r="Y14">
            <v>74.4</v>
          </cell>
          <cell r="AB14">
            <v>85.3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4"/>
  </sheetPr>
  <dimension ref="B2:I15"/>
  <sheetViews>
    <sheetView zoomScalePageLayoutView="0" workbookViewId="0" topLeftCell="A1">
      <selection activeCell="I23" sqref="I23"/>
    </sheetView>
  </sheetViews>
  <sheetFormatPr defaultColWidth="9.140625" defaultRowHeight="12.75"/>
  <cols>
    <col min="1" max="1" width="1.57421875" style="1" customWidth="1"/>
    <col min="2" max="2" width="7.8515625" style="1" customWidth="1"/>
    <col min="3" max="3" width="21.7109375" style="1" bestFit="1" customWidth="1"/>
    <col min="4" max="4" width="11.28125" style="1" bestFit="1" customWidth="1"/>
    <col min="5" max="5" width="11.421875" style="1" customWidth="1"/>
    <col min="6" max="6" width="15.421875" style="1" hidden="1" customWidth="1"/>
    <col min="7" max="7" width="12.28125" style="1" customWidth="1"/>
    <col min="8" max="8" width="10.57421875" style="1" customWidth="1"/>
    <col min="9" max="16384" width="11.421875" style="1" customWidth="1"/>
  </cols>
  <sheetData>
    <row r="2" spans="5:7" s="4" customFormat="1" ht="18">
      <c r="E2" s="715"/>
      <c r="F2" s="715"/>
      <c r="G2" s="715"/>
    </row>
    <row r="3" ht="12.75">
      <c r="C3" s="2" t="s">
        <v>112</v>
      </c>
    </row>
    <row r="4" spans="5:6" ht="12.75">
      <c r="E4" s="3"/>
      <c r="F4" s="1" t="s">
        <v>46</v>
      </c>
    </row>
    <row r="5" spans="5:9" ht="13.5" thickBot="1">
      <c r="E5" s="4"/>
      <c r="F5" s="4"/>
      <c r="G5" s="4"/>
      <c r="H5" s="4"/>
      <c r="I5" s="4"/>
    </row>
    <row r="6" spans="2:9" ht="39.75" customHeight="1" thickBot="1">
      <c r="B6" s="37"/>
      <c r="C6" s="129" t="s">
        <v>97</v>
      </c>
      <c r="D6" s="130" t="str">
        <f>'Calcul RW'!C4</f>
        <v>Blé (grain)</v>
      </c>
      <c r="E6" s="130" t="str">
        <f>'Calcul RW'!I4</f>
        <v>Betteraves sucrières</v>
      </c>
      <c r="F6" s="130" t="e">
        <f>'Calcul RW'!#REF!</f>
        <v>#REF!</v>
      </c>
      <c r="G6" s="130" t="str">
        <f>'Calcul RW'!O4</f>
        <v>mais voor ethanol (korrel)</v>
      </c>
      <c r="H6" s="130" t="str">
        <f>'Calcul RW'!U4</f>
        <v>Colza pour biodiesel</v>
      </c>
      <c r="I6" s="131" t="str">
        <f>'Calcul RW'!AA4</f>
        <v>Colza pour PPO</v>
      </c>
    </row>
    <row r="7" spans="2:9" ht="12.75">
      <c r="B7" s="126" t="s">
        <v>98</v>
      </c>
      <c r="C7" s="132" t="s">
        <v>104</v>
      </c>
      <c r="D7" s="225">
        <f>'Calcul RW'!D84</f>
        <v>15.706960338340117</v>
      </c>
      <c r="E7" s="225">
        <f>'Calcul RW'!J84</f>
        <v>9.298722347672191</v>
      </c>
      <c r="F7" s="225"/>
      <c r="G7" s="225">
        <f>'Calcul RW'!P84</f>
        <v>10.457083275880606</v>
      </c>
      <c r="H7" s="225">
        <f>'Calcul RW'!V84</f>
        <v>21.633685276279095</v>
      </c>
      <c r="I7" s="228">
        <f>+'Calcul RW'!AB84</f>
        <v>23.074659840220654</v>
      </c>
    </row>
    <row r="8" spans="2:9" ht="12.75">
      <c r="B8" s="127"/>
      <c r="C8" s="35" t="s">
        <v>105</v>
      </c>
      <c r="D8" s="226">
        <f>'Calcul RW'!E84</f>
        <v>15.558733586397903</v>
      </c>
      <c r="E8" s="226">
        <f>'Calcul RW'!K84</f>
        <v>9.628177522156598</v>
      </c>
      <c r="F8" s="226"/>
      <c r="G8" s="226">
        <f>'Calcul RW'!Q84</f>
        <v>10.038875135224256</v>
      </c>
      <c r="H8" s="226">
        <f>'Calcul RW'!W84</f>
        <v>24.953723782502585</v>
      </c>
      <c r="I8" s="229">
        <f>+'Calcul RW'!AC84</f>
        <v>26.61583917278408</v>
      </c>
    </row>
    <row r="9" spans="2:9" ht="12.75">
      <c r="B9" s="127"/>
      <c r="C9" s="35" t="s">
        <v>106</v>
      </c>
      <c r="D9" s="226">
        <f>'Calcul RW'!F84</f>
        <v>14.054584753652522</v>
      </c>
      <c r="E9" s="226">
        <f>'Calcul RW'!L84</f>
        <v>8.89209400213658</v>
      </c>
      <c r="F9" s="226"/>
      <c r="G9" s="226">
        <f>'Calcul RW'!R84</f>
        <v>9.591813515518043</v>
      </c>
      <c r="H9" s="226">
        <f>'Calcul RW'!X84</f>
        <v>23.0997959709123</v>
      </c>
      <c r="I9" s="229">
        <f>+'Calcul RW'!AD84</f>
        <v>24.63842510419372</v>
      </c>
    </row>
    <row r="10" spans="2:9" ht="12.75">
      <c r="B10" s="127"/>
      <c r="C10" s="35" t="s">
        <v>107</v>
      </c>
      <c r="D10" s="226">
        <f>'Calcul RW'!G84</f>
        <v>13.991963298375374</v>
      </c>
      <c r="E10" s="226">
        <f>'Calcul RW'!M84</f>
        <v>8.719241061310235</v>
      </c>
      <c r="F10" s="226"/>
      <c r="G10" s="226">
        <f>'Calcul RW'!S84</f>
        <v>8.763814341486459</v>
      </c>
      <c r="H10" s="226">
        <f>'Calcul RW'!Y84</f>
        <v>22.032989379458787</v>
      </c>
      <c r="I10" s="229">
        <f>+'Calcul RW'!AE84</f>
        <v>23.500560755206156</v>
      </c>
    </row>
    <row r="11" spans="2:9" ht="13.5" thickBot="1">
      <c r="B11" s="128"/>
      <c r="C11" s="133" t="s">
        <v>108</v>
      </c>
      <c r="D11" s="227">
        <f>'Calcul RW'!H84</f>
        <v>14.822951381021412</v>
      </c>
      <c r="E11" s="227">
        <f>'Calcul RW'!N84</f>
        <v>9.157049351000275</v>
      </c>
      <c r="F11" s="227"/>
      <c r="G11" s="227">
        <f>'Calcul RW'!T84</f>
        <v>9.827009845350833</v>
      </c>
      <c r="H11" s="227">
        <f>'Calcul RW'!Z84</f>
        <v>23.636043564193734</v>
      </c>
      <c r="I11" s="230">
        <f>+'Calcul RW'!AF84</f>
        <v>25.210391028957986</v>
      </c>
    </row>
    <row r="12" spans="2:9" ht="13.5" thickBot="1">
      <c r="B12" s="39" t="s">
        <v>99</v>
      </c>
      <c r="C12" s="36" t="s">
        <v>158</v>
      </c>
      <c r="D12" s="231">
        <f>+'Calcul RW'!C84</f>
        <v>14.614258870543019</v>
      </c>
      <c r="E12" s="231">
        <f>+'Calcul RW'!I84</f>
        <v>9.062010853166964</v>
      </c>
      <c r="F12" s="231" t="e">
        <f>+'Calcul RW'!#REF!</f>
        <v>#REF!</v>
      </c>
      <c r="G12" s="231">
        <f>+'Calcul RW'!O84</f>
        <v>9.614693001467838</v>
      </c>
      <c r="H12" s="231">
        <f>+'Calcul RW'!U84</f>
        <v>23.41300724660823</v>
      </c>
      <c r="I12" s="232">
        <f>+'Calcul RW'!AA84</f>
        <v>24.97249872838246</v>
      </c>
    </row>
    <row r="13" spans="2:9" ht="13.5" thickBot="1">
      <c r="B13" s="38"/>
      <c r="C13" s="36" t="s">
        <v>103</v>
      </c>
      <c r="D13" s="233">
        <f>+'Calcul RW'!C85</f>
        <v>23</v>
      </c>
      <c r="E13" s="233">
        <f>+'Calcul RW'!I85</f>
        <v>12</v>
      </c>
      <c r="F13" s="233" t="e">
        <f>+'Calcul RW'!#REF!</f>
        <v>#REF!</v>
      </c>
      <c r="G13" s="233">
        <f>+'Calcul RW'!O85</f>
        <v>20</v>
      </c>
      <c r="H13" s="233">
        <f>+'Calcul RW'!U85</f>
        <v>29</v>
      </c>
      <c r="I13" s="234">
        <f>+'Calcul RW'!AA85</f>
        <v>30</v>
      </c>
    </row>
    <row r="14" spans="3:9" ht="12.75">
      <c r="C14" s="31"/>
      <c r="D14" s="235"/>
      <c r="E14" s="235"/>
      <c r="F14" s="235"/>
      <c r="G14" s="235"/>
      <c r="H14" s="235"/>
      <c r="I14" s="235"/>
    </row>
    <row r="15" spans="3:9" ht="12.75">
      <c r="C15" s="2"/>
      <c r="D15" s="236"/>
      <c r="E15" s="236"/>
      <c r="F15" s="236"/>
      <c r="G15" s="236"/>
      <c r="H15" s="236"/>
      <c r="I15" s="236"/>
    </row>
  </sheetData>
  <sheetProtection/>
  <mergeCells count="1">
    <mergeCell ref="E2:G2"/>
  </mergeCells>
  <printOptions/>
  <pageMargins left="0.787401575" right="0.787401575" top="0.984251969" bottom="0.984251969" header="0.4921259845" footer="0.4921259845"/>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tabColor indexed="54"/>
  </sheetPr>
  <dimension ref="A1:DC109"/>
  <sheetViews>
    <sheetView zoomScale="85" zoomScaleNormal="85" zoomScalePageLayoutView="0" workbookViewId="0" topLeftCell="A1">
      <pane xSplit="2" ySplit="6" topLeftCell="C52" activePane="bottomRight" state="frozen"/>
      <selection pane="topLeft" activeCell="A1" sqref="A1"/>
      <selection pane="topRight" activeCell="C1" sqref="C1"/>
      <selection pane="bottomLeft" activeCell="A7" sqref="A7"/>
      <selection pane="bottomRight" activeCell="C73" sqref="C73"/>
    </sheetView>
  </sheetViews>
  <sheetFormatPr defaultColWidth="9.140625" defaultRowHeight="12.75"/>
  <cols>
    <col min="1" max="1" width="13.28125" style="426" customWidth="1"/>
    <col min="2" max="2" width="27.00390625" style="147" customWidth="1"/>
    <col min="3" max="26" width="11.7109375" style="7" customWidth="1"/>
    <col min="27" max="32" width="11.7109375" style="25" customWidth="1"/>
    <col min="33" max="107" width="9.140625" style="25" customWidth="1"/>
    <col min="108" max="16384" width="9.140625" style="5" customWidth="1"/>
  </cols>
  <sheetData>
    <row r="1" spans="1:14" ht="13.5" thickBot="1">
      <c r="A1" s="422"/>
      <c r="B1" s="145"/>
      <c r="C1" s="26"/>
      <c r="D1" s="26"/>
      <c r="E1" s="26"/>
      <c r="F1" s="26"/>
      <c r="G1" s="26"/>
      <c r="H1" s="26"/>
      <c r="I1" s="26"/>
      <c r="J1" s="26"/>
      <c r="K1" s="26"/>
      <c r="L1" s="26"/>
      <c r="M1" s="26"/>
      <c r="N1" s="26"/>
    </row>
    <row r="2" spans="1:107" s="8" customFormat="1" ht="13.5" thickBot="1">
      <c r="A2" s="717" t="s">
        <v>141</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9"/>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row>
    <row r="3" spans="1:14" ht="13.5" thickBot="1">
      <c r="A3" s="422"/>
      <c r="B3" s="27"/>
      <c r="C3" s="28"/>
      <c r="D3" s="28"/>
      <c r="E3" s="28"/>
      <c r="F3" s="28"/>
      <c r="G3" s="28"/>
      <c r="H3" s="28"/>
      <c r="I3" s="28"/>
      <c r="J3" s="28"/>
      <c r="K3" s="28"/>
      <c r="L3" s="28"/>
      <c r="M3" s="28"/>
      <c r="N3" s="28"/>
    </row>
    <row r="4" spans="1:107" s="7" customFormat="1" ht="38.25" customHeight="1">
      <c r="A4" s="422"/>
      <c r="B4" s="134"/>
      <c r="C4" s="720" t="s">
        <v>82</v>
      </c>
      <c r="D4" s="721"/>
      <c r="E4" s="721"/>
      <c r="F4" s="721"/>
      <c r="G4" s="721"/>
      <c r="H4" s="722"/>
      <c r="I4" s="716" t="s">
        <v>68</v>
      </c>
      <c r="J4" s="716"/>
      <c r="K4" s="716"/>
      <c r="L4" s="716"/>
      <c r="M4" s="716"/>
      <c r="N4" s="716"/>
      <c r="O4" s="732" t="s">
        <v>85</v>
      </c>
      <c r="P4" s="732"/>
      <c r="Q4" s="732"/>
      <c r="R4" s="732"/>
      <c r="S4" s="732"/>
      <c r="T4" s="732"/>
      <c r="U4" s="729" t="s">
        <v>90</v>
      </c>
      <c r="V4" s="730"/>
      <c r="W4" s="730"/>
      <c r="X4" s="730"/>
      <c r="Y4" s="730"/>
      <c r="Z4" s="731"/>
      <c r="AA4" s="727" t="s">
        <v>91</v>
      </c>
      <c r="AB4" s="727"/>
      <c r="AC4" s="727"/>
      <c r="AD4" s="727"/>
      <c r="AE4" s="727"/>
      <c r="AF4" s="728"/>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row>
    <row r="5" spans="1:107" s="7" customFormat="1" ht="12.75">
      <c r="A5" s="422"/>
      <c r="B5" s="134"/>
      <c r="C5" s="40" t="s">
        <v>99</v>
      </c>
      <c r="D5" s="723" t="s">
        <v>94</v>
      </c>
      <c r="E5" s="723"/>
      <c r="F5" s="723"/>
      <c r="G5" s="723"/>
      <c r="H5" s="724"/>
      <c r="I5" s="72" t="s">
        <v>99</v>
      </c>
      <c r="J5" s="725" t="s">
        <v>94</v>
      </c>
      <c r="K5" s="725"/>
      <c r="L5" s="725"/>
      <c r="M5" s="725"/>
      <c r="N5" s="726"/>
      <c r="O5" s="267" t="s">
        <v>99</v>
      </c>
      <c r="P5" s="733" t="s">
        <v>94</v>
      </c>
      <c r="Q5" s="734"/>
      <c r="R5" s="734"/>
      <c r="S5" s="734"/>
      <c r="T5" s="734"/>
      <c r="U5" s="163" t="s">
        <v>99</v>
      </c>
      <c r="V5" s="735" t="s">
        <v>94</v>
      </c>
      <c r="W5" s="736"/>
      <c r="X5" s="736"/>
      <c r="Y5" s="736"/>
      <c r="Z5" s="737"/>
      <c r="AA5" s="188" t="s">
        <v>99</v>
      </c>
      <c r="AB5" s="738" t="s">
        <v>94</v>
      </c>
      <c r="AC5" s="739"/>
      <c r="AD5" s="739"/>
      <c r="AE5" s="739"/>
      <c r="AF5" s="740"/>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row>
    <row r="6" spans="1:107" s="7" customFormat="1" ht="26.25" thickBot="1">
      <c r="A6" s="422"/>
      <c r="B6" s="134"/>
      <c r="C6" s="136" t="str">
        <f>'Données RW'!C$8</f>
        <v>RW</v>
      </c>
      <c r="D6" s="136" t="str">
        <f>'Données RW'!D$8</f>
        <v>Brabant Wallon</v>
      </c>
      <c r="E6" s="136" t="str">
        <f>'Données RW'!E$8</f>
        <v>Hainaut</v>
      </c>
      <c r="F6" s="136" t="str">
        <f>'Données RW'!F$8</f>
        <v>Liege</v>
      </c>
      <c r="G6" s="136" t="str">
        <f>'Données RW'!G$8</f>
        <v>Luxembourg</v>
      </c>
      <c r="H6" s="136" t="str">
        <f>'Données RW'!H$8</f>
        <v>Namur </v>
      </c>
      <c r="I6" s="239" t="s">
        <v>109</v>
      </c>
      <c r="J6" s="148" t="s">
        <v>104</v>
      </c>
      <c r="K6" s="148" t="s">
        <v>105</v>
      </c>
      <c r="L6" s="148" t="s">
        <v>106</v>
      </c>
      <c r="M6" s="148" t="s">
        <v>107</v>
      </c>
      <c r="N6" s="257" t="s">
        <v>108</v>
      </c>
      <c r="O6" s="268" t="str">
        <f aca="true" t="shared" si="0" ref="O6:T6">C6</f>
        <v>RW</v>
      </c>
      <c r="P6" s="155" t="str">
        <f t="shared" si="0"/>
        <v>Brabant Wallon</v>
      </c>
      <c r="Q6" s="155" t="str">
        <f t="shared" si="0"/>
        <v>Hainaut</v>
      </c>
      <c r="R6" s="155" t="str">
        <f t="shared" si="0"/>
        <v>Liege</v>
      </c>
      <c r="S6" s="155" t="str">
        <f t="shared" si="0"/>
        <v>Luxembourg</v>
      </c>
      <c r="T6" s="278" t="str">
        <f t="shared" si="0"/>
        <v>Namur </v>
      </c>
      <c r="U6" s="289" t="s">
        <v>109</v>
      </c>
      <c r="V6" s="181" t="s">
        <v>104</v>
      </c>
      <c r="W6" s="181" t="s">
        <v>105</v>
      </c>
      <c r="X6" s="181" t="s">
        <v>106</v>
      </c>
      <c r="Y6" s="181" t="s">
        <v>107</v>
      </c>
      <c r="Z6" s="290" t="s">
        <v>108</v>
      </c>
      <c r="AA6" s="288" t="s">
        <v>109</v>
      </c>
      <c r="AB6" s="197" t="s">
        <v>104</v>
      </c>
      <c r="AC6" s="197" t="s">
        <v>105</v>
      </c>
      <c r="AD6" s="197" t="s">
        <v>106</v>
      </c>
      <c r="AE6" s="197" t="s">
        <v>107</v>
      </c>
      <c r="AF6" s="198" t="s">
        <v>108</v>
      </c>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row>
    <row r="7" spans="1:32" ht="13.5" thickBot="1">
      <c r="A7" s="423" t="s">
        <v>89</v>
      </c>
      <c r="B7" s="237" t="s">
        <v>86</v>
      </c>
      <c r="C7" s="65">
        <f>'Données RW'!C10/1000</f>
        <v>8.751</v>
      </c>
      <c r="D7" s="66">
        <f>'Données RW'!D10/1000</f>
        <v>8.78</v>
      </c>
      <c r="E7" s="66">
        <f>'Données RW'!E10/1000</f>
        <v>8.72</v>
      </c>
      <c r="F7" s="66">
        <f>'Données RW'!F10/1000</f>
        <v>9.2</v>
      </c>
      <c r="G7" s="66">
        <f>'Données RW'!G10/1000</f>
        <v>7.440000000000001</v>
      </c>
      <c r="H7" s="67">
        <f>'Données RW'!H10/1000</f>
        <v>8.53</v>
      </c>
      <c r="I7" s="240">
        <f>'Données RW'!I10/1000</f>
        <v>75.224</v>
      </c>
      <c r="J7" s="149">
        <f>'Données RW'!J10/1000</f>
        <v>79.43</v>
      </c>
      <c r="K7" s="149">
        <f>'Données RW'!K10/1000</f>
        <v>73.3</v>
      </c>
      <c r="L7" s="149">
        <f>'Données RW'!L10/1000</f>
        <v>76.24</v>
      </c>
      <c r="M7" s="149">
        <f>'Données RW'!M10/1000</f>
        <v>68.06</v>
      </c>
      <c r="N7" s="258">
        <f>'Données RW'!N10/1000</f>
        <v>73.87</v>
      </c>
      <c r="O7" s="269">
        <f>'Données RW'!O10/1000</f>
        <v>12.199</v>
      </c>
      <c r="P7" s="156">
        <f>'Données RW'!P10/1000</f>
        <v>11.86</v>
      </c>
      <c r="Q7" s="156">
        <f>'Données RW'!Q10/1000</f>
        <v>12.57</v>
      </c>
      <c r="R7" s="156">
        <f>'Données RW'!R10/1000</f>
        <v>11.88</v>
      </c>
      <c r="S7" s="156">
        <f>'Données RW'!S10/1000</f>
        <v>11.7</v>
      </c>
      <c r="T7" s="279">
        <f>'Données RW'!T10/1000</f>
        <v>11.71</v>
      </c>
      <c r="U7" s="291">
        <f>'Données RW'!U10/1000</f>
        <v>3.858</v>
      </c>
      <c r="V7" s="182">
        <f>'Données RW'!V10/1000</f>
        <v>5.29</v>
      </c>
      <c r="W7" s="182">
        <f>'Données RW'!W10/1000</f>
        <v>3.79</v>
      </c>
      <c r="X7" s="182">
        <f>'Données RW'!X10/1000</f>
        <v>3.85</v>
      </c>
      <c r="Y7" s="182">
        <f>'Données RW'!Y10/1000</f>
        <v>3.48</v>
      </c>
      <c r="Z7" s="292">
        <f>'Données RW'!Z10/1000</f>
        <v>3.79</v>
      </c>
      <c r="AA7" s="304">
        <f>'Données RW'!AA10/1000</f>
        <v>3.858</v>
      </c>
      <c r="AB7" s="199">
        <f>'Données RW'!AB10/1000</f>
        <v>5.29</v>
      </c>
      <c r="AC7" s="199">
        <f>'Données RW'!AC10/1000</f>
        <v>3.79</v>
      </c>
      <c r="AD7" s="199">
        <f>'Données RW'!AD10/1000</f>
        <v>3.85</v>
      </c>
      <c r="AE7" s="199">
        <f>'Données RW'!AE10/1000</f>
        <v>3.48</v>
      </c>
      <c r="AF7" s="305">
        <f>'Données RW'!AF10/1000</f>
        <v>3.79</v>
      </c>
    </row>
    <row r="8" spans="1:107" s="11" customFormat="1" ht="12.75">
      <c r="A8" s="424"/>
      <c r="B8" s="146" t="s">
        <v>21</v>
      </c>
      <c r="C8" s="65">
        <v>15</v>
      </c>
      <c r="D8" s="65">
        <v>15</v>
      </c>
      <c r="E8" s="65">
        <v>15</v>
      </c>
      <c r="F8" s="65">
        <v>15</v>
      </c>
      <c r="G8" s="65">
        <v>15</v>
      </c>
      <c r="H8" s="65">
        <v>15</v>
      </c>
      <c r="I8" s="75">
        <f>'Données RW'!I11</f>
        <v>74</v>
      </c>
      <c r="J8" s="76">
        <f>'Données RW'!J11</f>
        <v>74</v>
      </c>
      <c r="K8" s="76">
        <f>'Données RW'!K11</f>
        <v>74</v>
      </c>
      <c r="L8" s="76">
        <f>'Données RW'!L11</f>
        <v>74</v>
      </c>
      <c r="M8" s="76">
        <f>'Données RW'!M11</f>
        <v>74</v>
      </c>
      <c r="N8" s="259">
        <f>'Données RW'!N11</f>
        <v>74</v>
      </c>
      <c r="O8" s="270">
        <f>'Données RW'!O11</f>
        <v>13.4</v>
      </c>
      <c r="P8" s="98">
        <f>'Données RW'!P11</f>
        <v>13.4</v>
      </c>
      <c r="Q8" s="98">
        <f>'Données RW'!Q11</f>
        <v>13.4</v>
      </c>
      <c r="R8" s="98">
        <f>'Données RW'!R11</f>
        <v>13.4</v>
      </c>
      <c r="S8" s="98">
        <f>'Données RW'!S11</f>
        <v>13.4</v>
      </c>
      <c r="T8" s="280">
        <f>'Données RW'!T11</f>
        <v>13.4</v>
      </c>
      <c r="U8" s="168">
        <f>'Données RW'!U11</f>
        <v>15</v>
      </c>
      <c r="V8" s="173">
        <f>'Données RW'!V11</f>
        <v>15</v>
      </c>
      <c r="W8" s="173">
        <f>'Données RW'!W11</f>
        <v>15</v>
      </c>
      <c r="X8" s="173">
        <f>'Données RW'!X11</f>
        <v>15</v>
      </c>
      <c r="Y8" s="173">
        <f>'Données RW'!Y11</f>
        <v>15</v>
      </c>
      <c r="Z8" s="293">
        <f>'Données RW'!Z11</f>
        <v>15</v>
      </c>
      <c r="AA8" s="306">
        <f>'Données RW'!AA11</f>
        <v>15</v>
      </c>
      <c r="AB8" s="194">
        <f>'Données RW'!AB11</f>
        <v>15</v>
      </c>
      <c r="AC8" s="194">
        <f>'Données RW'!AC11</f>
        <v>15</v>
      </c>
      <c r="AD8" s="194">
        <f>'Données RW'!AD11</f>
        <v>15</v>
      </c>
      <c r="AE8" s="194">
        <f>'Données RW'!AE11</f>
        <v>15</v>
      </c>
      <c r="AF8" s="307">
        <f>'Données RW'!AF11</f>
        <v>15</v>
      </c>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row>
    <row r="9" spans="1:32" ht="12.75">
      <c r="A9" s="424"/>
      <c r="B9" s="146" t="s">
        <v>87</v>
      </c>
      <c r="C9" s="42">
        <f aca="true" t="shared" si="1" ref="C9:AF9">C7*(1-C8/100)</f>
        <v>7.438349999999999</v>
      </c>
      <c r="D9" s="43">
        <f t="shared" si="1"/>
        <v>7.462999999999999</v>
      </c>
      <c r="E9" s="43">
        <f t="shared" si="1"/>
        <v>7.412</v>
      </c>
      <c r="F9" s="43">
        <f t="shared" si="1"/>
        <v>7.819999999999999</v>
      </c>
      <c r="G9" s="43">
        <f t="shared" si="1"/>
        <v>6.324000000000001</v>
      </c>
      <c r="H9" s="44">
        <f t="shared" si="1"/>
        <v>7.250499999999999</v>
      </c>
      <c r="I9" s="75">
        <f t="shared" si="1"/>
        <v>19.55824</v>
      </c>
      <c r="J9" s="76">
        <f t="shared" si="1"/>
        <v>20.6518</v>
      </c>
      <c r="K9" s="76">
        <f t="shared" si="1"/>
        <v>19.058</v>
      </c>
      <c r="L9" s="76">
        <f t="shared" si="1"/>
        <v>19.8224</v>
      </c>
      <c r="M9" s="76">
        <f t="shared" si="1"/>
        <v>17.695600000000002</v>
      </c>
      <c r="N9" s="259">
        <f t="shared" si="1"/>
        <v>19.206200000000003</v>
      </c>
      <c r="O9" s="270">
        <f t="shared" si="1"/>
        <v>10.564334</v>
      </c>
      <c r="P9" s="98">
        <f t="shared" si="1"/>
        <v>10.27076</v>
      </c>
      <c r="Q9" s="98">
        <f t="shared" si="1"/>
        <v>10.88562</v>
      </c>
      <c r="R9" s="98">
        <f t="shared" si="1"/>
        <v>10.28808</v>
      </c>
      <c r="S9" s="98">
        <f t="shared" si="1"/>
        <v>10.1322</v>
      </c>
      <c r="T9" s="280">
        <f t="shared" si="1"/>
        <v>10.14086</v>
      </c>
      <c r="U9" s="168">
        <f t="shared" si="1"/>
        <v>3.2793</v>
      </c>
      <c r="V9" s="173">
        <f t="shared" si="1"/>
        <v>4.4965</v>
      </c>
      <c r="W9" s="173">
        <f t="shared" si="1"/>
        <v>3.2215</v>
      </c>
      <c r="X9" s="173">
        <f t="shared" si="1"/>
        <v>3.2725</v>
      </c>
      <c r="Y9" s="173">
        <f t="shared" si="1"/>
        <v>2.9579999999999997</v>
      </c>
      <c r="Z9" s="293">
        <f t="shared" si="1"/>
        <v>3.2215</v>
      </c>
      <c r="AA9" s="306">
        <f t="shared" si="1"/>
        <v>3.2793</v>
      </c>
      <c r="AB9" s="194">
        <f t="shared" si="1"/>
        <v>4.4965</v>
      </c>
      <c r="AC9" s="194">
        <f t="shared" si="1"/>
        <v>3.2215</v>
      </c>
      <c r="AD9" s="194">
        <f t="shared" si="1"/>
        <v>3.2725</v>
      </c>
      <c r="AE9" s="194">
        <f t="shared" si="1"/>
        <v>2.9579999999999997</v>
      </c>
      <c r="AF9" s="307">
        <f t="shared" si="1"/>
        <v>3.2215</v>
      </c>
    </row>
    <row r="10" spans="1:32" ht="13.5" thickBot="1">
      <c r="A10" s="425"/>
      <c r="B10" s="238" t="s">
        <v>88</v>
      </c>
      <c r="C10" s="68">
        <f>C9*'Données RW'!C12*1000</f>
        <v>126451.94999999998</v>
      </c>
      <c r="D10" s="138">
        <f>D9*'Données RW'!D12*1000</f>
        <v>126870.99999999999</v>
      </c>
      <c r="E10" s="138">
        <f>E9*'Données RW'!E12*1000</f>
        <v>126004</v>
      </c>
      <c r="F10" s="138">
        <f>F9*'Données RW'!F12*1000</f>
        <v>132940</v>
      </c>
      <c r="G10" s="138">
        <f>G9*'Données RW'!G12*1000</f>
        <v>107508.00000000001</v>
      </c>
      <c r="H10" s="244">
        <f>H9*'Données RW'!H12*1000</f>
        <v>123258.49999999999</v>
      </c>
      <c r="I10" s="87">
        <f>I9*'Données RW'!I12*1000</f>
        <v>332490.08</v>
      </c>
      <c r="J10" s="150">
        <f>J9*'Données RW'!J12*1000</f>
        <v>351080.6</v>
      </c>
      <c r="K10" s="150">
        <f>K9*'Données RW'!K12*1000</f>
        <v>323986</v>
      </c>
      <c r="L10" s="150">
        <f>L9*'Données RW'!L12*1000</f>
        <v>336980.8</v>
      </c>
      <c r="M10" s="150">
        <f>M9*'Données RW'!M12*1000</f>
        <v>300825.20000000007</v>
      </c>
      <c r="N10" s="260">
        <f>N9*'Données RW'!N12*1000</f>
        <v>326505.4000000001</v>
      </c>
      <c r="O10" s="271">
        <f>O9*'Données RW'!O12*1000</f>
        <v>226076.7476</v>
      </c>
      <c r="P10" s="157">
        <f>P9*'Données RW'!P12*1000</f>
        <v>219794.26399999997</v>
      </c>
      <c r="Q10" s="157">
        <f>Q9*'Données RW'!Q12*1000</f>
        <v>232952.26799999998</v>
      </c>
      <c r="R10" s="157">
        <f>R9*'Données RW'!R12*1000</f>
        <v>220164.912</v>
      </c>
      <c r="S10" s="157">
        <f>S9*'Données RW'!S12*1000</f>
        <v>216829.08</v>
      </c>
      <c r="T10" s="281">
        <f>T9*'Données RW'!T12*1000</f>
        <v>217014.40399999998</v>
      </c>
      <c r="U10" s="294">
        <f>U9*'Données RW'!U12*1000</f>
        <v>86901.45</v>
      </c>
      <c r="V10" s="183">
        <f>V9*'Données RW'!V12*1000</f>
        <v>119157.25</v>
      </c>
      <c r="W10" s="183">
        <f>W9*'Données RW'!W12*1000</f>
        <v>85369.75</v>
      </c>
      <c r="X10" s="183">
        <f>X9*'Données RW'!X12*1000</f>
        <v>86721.25</v>
      </c>
      <c r="Y10" s="183">
        <f>Y9*'Données RW'!Y12*1000</f>
        <v>78386.99999999999</v>
      </c>
      <c r="Z10" s="295">
        <f>Z9*'Données RW'!Z12*1000</f>
        <v>85369.75</v>
      </c>
      <c r="AA10" s="308">
        <f>AA9*'Données RW'!AA12*1000</f>
        <v>86901.45</v>
      </c>
      <c r="AB10" s="200">
        <f>AB9*'Données RW'!AB12*1000</f>
        <v>119157.25</v>
      </c>
      <c r="AC10" s="200">
        <f>AC9*'Données RW'!AC12*1000</f>
        <v>85369.75</v>
      </c>
      <c r="AD10" s="200">
        <f>AD9*'Données RW'!AD12*1000</f>
        <v>86721.25</v>
      </c>
      <c r="AE10" s="200">
        <f>AE9*'Données RW'!AE12*1000</f>
        <v>78386.99999999999</v>
      </c>
      <c r="AF10" s="309">
        <f>AF9*'Données RW'!AF12*1000</f>
        <v>85369.75</v>
      </c>
    </row>
    <row r="11" spans="1:32" ht="13.5" thickBot="1">
      <c r="A11" s="424"/>
      <c r="B11" s="146"/>
      <c r="C11" s="62"/>
      <c r="D11" s="63"/>
      <c r="E11" s="63"/>
      <c r="F11" s="63"/>
      <c r="G11" s="63"/>
      <c r="H11" s="64"/>
      <c r="I11" s="323"/>
      <c r="J11" s="324"/>
      <c r="K11" s="324"/>
      <c r="L11" s="324"/>
      <c r="M11" s="324"/>
      <c r="N11" s="325"/>
      <c r="O11" s="326"/>
      <c r="P11" s="327"/>
      <c r="Q11" s="327"/>
      <c r="R11" s="327"/>
      <c r="S11" s="327"/>
      <c r="T11" s="328"/>
      <c r="U11" s="329"/>
      <c r="V11" s="330"/>
      <c r="W11" s="330"/>
      <c r="X11" s="330"/>
      <c r="Y11" s="330"/>
      <c r="Z11" s="331"/>
      <c r="AA11" s="332"/>
      <c r="AB11" s="333"/>
      <c r="AC11" s="333"/>
      <c r="AD11" s="333"/>
      <c r="AE11" s="333"/>
      <c r="AF11" s="334"/>
    </row>
    <row r="12" spans="1:32" ht="12.75">
      <c r="A12" s="423" t="s">
        <v>0</v>
      </c>
      <c r="B12" s="237" t="s">
        <v>34</v>
      </c>
      <c r="C12" s="336">
        <f aca="true" t="shared" si="2" ref="C12:AF12">C16*C15</f>
        <v>3407.2803757999995</v>
      </c>
      <c r="D12" s="337">
        <f t="shared" si="2"/>
        <v>3407.2803757999995</v>
      </c>
      <c r="E12" s="337">
        <f t="shared" si="2"/>
        <v>3407.2803757999995</v>
      </c>
      <c r="F12" s="337">
        <f t="shared" si="2"/>
        <v>3407.2803757999995</v>
      </c>
      <c r="G12" s="337">
        <f t="shared" si="2"/>
        <v>3407.2803757999995</v>
      </c>
      <c r="H12" s="338">
        <f t="shared" si="2"/>
        <v>3407.2803757999995</v>
      </c>
      <c r="I12" s="339">
        <f t="shared" si="2"/>
        <v>8180.31823</v>
      </c>
      <c r="J12" s="340">
        <f t="shared" si="2"/>
        <v>8180.31823</v>
      </c>
      <c r="K12" s="340">
        <f t="shared" si="2"/>
        <v>8180.31823</v>
      </c>
      <c r="L12" s="340">
        <f t="shared" si="2"/>
        <v>8180.31823</v>
      </c>
      <c r="M12" s="340">
        <f t="shared" si="2"/>
        <v>8180.31823</v>
      </c>
      <c r="N12" s="341">
        <f t="shared" si="2"/>
        <v>8180.31823</v>
      </c>
      <c r="O12" s="342">
        <f t="shared" si="2"/>
        <v>4267.99212</v>
      </c>
      <c r="P12" s="343">
        <f t="shared" si="2"/>
        <v>4267.99212</v>
      </c>
      <c r="Q12" s="343">
        <f t="shared" si="2"/>
        <v>4267.99212</v>
      </c>
      <c r="R12" s="343">
        <f t="shared" si="2"/>
        <v>4267.99212</v>
      </c>
      <c r="S12" s="343">
        <f t="shared" si="2"/>
        <v>4267.99212</v>
      </c>
      <c r="T12" s="344">
        <f t="shared" si="2"/>
        <v>4267.99212</v>
      </c>
      <c r="U12" s="345">
        <f t="shared" si="2"/>
        <v>4196.858918</v>
      </c>
      <c r="V12" s="346">
        <f t="shared" si="2"/>
        <v>4196.858918</v>
      </c>
      <c r="W12" s="346">
        <f t="shared" si="2"/>
        <v>4196.858918</v>
      </c>
      <c r="X12" s="346">
        <f t="shared" si="2"/>
        <v>4196.858918</v>
      </c>
      <c r="Y12" s="346">
        <f t="shared" si="2"/>
        <v>4196.858918</v>
      </c>
      <c r="Z12" s="347">
        <f t="shared" si="2"/>
        <v>4196.858918</v>
      </c>
      <c r="AA12" s="348">
        <f t="shared" si="2"/>
        <v>4196.858918</v>
      </c>
      <c r="AB12" s="349">
        <f t="shared" si="2"/>
        <v>4196.858918</v>
      </c>
      <c r="AC12" s="349">
        <f t="shared" si="2"/>
        <v>4196.858918</v>
      </c>
      <c r="AD12" s="349">
        <f t="shared" si="2"/>
        <v>4196.858918</v>
      </c>
      <c r="AE12" s="349">
        <f t="shared" si="2"/>
        <v>4196.858918</v>
      </c>
      <c r="AF12" s="349">
        <f t="shared" si="2"/>
        <v>4196.858918</v>
      </c>
    </row>
    <row r="13" spans="1:32" ht="12.75">
      <c r="A13" s="424"/>
      <c r="B13" s="146" t="s">
        <v>1</v>
      </c>
      <c r="C13" s="54">
        <f>'Données RW'!C22</f>
        <v>0.833</v>
      </c>
      <c r="D13" s="140">
        <f>'Données RW'!D22</f>
        <v>0.833</v>
      </c>
      <c r="E13" s="140">
        <f>'Données RW'!E22</f>
        <v>0.833</v>
      </c>
      <c r="F13" s="140">
        <f>'Données RW'!F22</f>
        <v>0.833</v>
      </c>
      <c r="G13" s="140">
        <f>'Données RW'!G22</f>
        <v>0.833</v>
      </c>
      <c r="H13" s="247">
        <f>'Données RW'!H22</f>
        <v>0.833</v>
      </c>
      <c r="I13" s="81">
        <f>'Données RW'!I22</f>
        <v>0.833</v>
      </c>
      <c r="J13" s="151">
        <f>'Données RW'!J22</f>
        <v>0.833</v>
      </c>
      <c r="K13" s="151">
        <f>'Données RW'!K22</f>
        <v>0.833</v>
      </c>
      <c r="L13" s="151">
        <f>'Données RW'!L22</f>
        <v>0.833</v>
      </c>
      <c r="M13" s="151">
        <f>'Données RW'!M22</f>
        <v>0.833</v>
      </c>
      <c r="N13" s="262">
        <f>'Données RW'!N22</f>
        <v>0.833</v>
      </c>
      <c r="O13" s="273">
        <f>'Données RW'!O22</f>
        <v>0.833</v>
      </c>
      <c r="P13" s="158">
        <f>'Données RW'!P22</f>
        <v>0.833</v>
      </c>
      <c r="Q13" s="158">
        <f>'Données RW'!Q22</f>
        <v>0.833</v>
      </c>
      <c r="R13" s="158">
        <f>'Données RW'!R22</f>
        <v>0.833</v>
      </c>
      <c r="S13" s="158">
        <f>'Données RW'!S22</f>
        <v>0.833</v>
      </c>
      <c r="T13" s="283">
        <f>'Données RW'!T22</f>
        <v>0.833</v>
      </c>
      <c r="U13" s="174">
        <f>'Données RW'!U22</f>
        <v>0.833</v>
      </c>
      <c r="V13" s="184">
        <f>'Données RW'!V22</f>
        <v>0.833</v>
      </c>
      <c r="W13" s="184">
        <f>'Données RW'!W22</f>
        <v>0.833</v>
      </c>
      <c r="X13" s="184">
        <f>'Données RW'!X22</f>
        <v>0.833</v>
      </c>
      <c r="Y13" s="184">
        <f>'Données RW'!Y22</f>
        <v>0.833</v>
      </c>
      <c r="Z13" s="296">
        <f>'Données RW'!Z22</f>
        <v>0.833</v>
      </c>
      <c r="AA13" s="312">
        <f>'Données RW'!AA22</f>
        <v>0.833</v>
      </c>
      <c r="AB13" s="195">
        <f>'Données RW'!AB22</f>
        <v>0.833</v>
      </c>
      <c r="AC13" s="195">
        <f>'Données RW'!AC22</f>
        <v>0.833</v>
      </c>
      <c r="AD13" s="195">
        <f>'Données RW'!AD22</f>
        <v>0.833</v>
      </c>
      <c r="AE13" s="195">
        <f>'Données RW'!AE22</f>
        <v>0.833</v>
      </c>
      <c r="AF13" s="195">
        <f>'Données RW'!AF22</f>
        <v>0.833</v>
      </c>
    </row>
    <row r="14" spans="1:32" ht="12.75">
      <c r="A14" s="424"/>
      <c r="B14" s="146" t="s">
        <v>2</v>
      </c>
      <c r="C14" s="248">
        <f>'Données RW'!C23</f>
        <v>42.697</v>
      </c>
      <c r="D14" s="41">
        <f>'Données RW'!D23</f>
        <v>42.697</v>
      </c>
      <c r="E14" s="41">
        <f>'Données RW'!E23</f>
        <v>42.697</v>
      </c>
      <c r="F14" s="41">
        <f>'Données RW'!F23</f>
        <v>42.697</v>
      </c>
      <c r="G14" s="41">
        <f>'Données RW'!G23</f>
        <v>42.697</v>
      </c>
      <c r="H14" s="249">
        <f>'Données RW'!H23</f>
        <v>42.697</v>
      </c>
      <c r="I14" s="73">
        <f>'Données RW'!I23</f>
        <v>42.697</v>
      </c>
      <c r="J14" s="74">
        <f>'Données RW'!J23</f>
        <v>42.697</v>
      </c>
      <c r="K14" s="74">
        <f>'Données RW'!K23</f>
        <v>42.697</v>
      </c>
      <c r="L14" s="74">
        <f>'Données RW'!L23</f>
        <v>42.697</v>
      </c>
      <c r="M14" s="74">
        <f>'Données RW'!M23</f>
        <v>42.697</v>
      </c>
      <c r="N14" s="263">
        <f>'Données RW'!N23</f>
        <v>42.697</v>
      </c>
      <c r="O14" s="274">
        <f>'Données RW'!O23</f>
        <v>42.697</v>
      </c>
      <c r="P14" s="95">
        <f>'Données RW'!P23</f>
        <v>42.697</v>
      </c>
      <c r="Q14" s="95">
        <f>'Données RW'!Q23</f>
        <v>42.697</v>
      </c>
      <c r="R14" s="95">
        <f>'Données RW'!R23</f>
        <v>42.697</v>
      </c>
      <c r="S14" s="95">
        <f>'Données RW'!S23</f>
        <v>42.697</v>
      </c>
      <c r="T14" s="284">
        <f>'Données RW'!T23</f>
        <v>42.697</v>
      </c>
      <c r="U14" s="177">
        <f>'Données RW'!U23</f>
        <v>42.697</v>
      </c>
      <c r="V14" s="172">
        <f>'Données RW'!V23</f>
        <v>42.697</v>
      </c>
      <c r="W14" s="172">
        <f>'Données RW'!W23</f>
        <v>42.697</v>
      </c>
      <c r="X14" s="172">
        <f>'Données RW'!X23</f>
        <v>42.697</v>
      </c>
      <c r="Y14" s="172">
        <f>'Données RW'!Y23</f>
        <v>42.697</v>
      </c>
      <c r="Z14" s="297">
        <f>'Données RW'!Z23</f>
        <v>42.697</v>
      </c>
      <c r="AA14" s="314">
        <f>'Données RW'!AA23</f>
        <v>42.697</v>
      </c>
      <c r="AB14" s="193">
        <f>'Données RW'!AB23</f>
        <v>42.697</v>
      </c>
      <c r="AC14" s="193">
        <f>'Données RW'!AC23</f>
        <v>42.697</v>
      </c>
      <c r="AD14" s="193">
        <f>'Données RW'!AD23</f>
        <v>42.697</v>
      </c>
      <c r="AE14" s="193">
        <f>'Données RW'!AE23</f>
        <v>42.697</v>
      </c>
      <c r="AF14" s="193">
        <f>'Données RW'!AF23</f>
        <v>42.697</v>
      </c>
    </row>
    <row r="15" spans="1:32" ht="12.75">
      <c r="A15" s="424"/>
      <c r="B15" s="146" t="s">
        <v>3</v>
      </c>
      <c r="C15" s="250">
        <f aca="true" t="shared" si="3" ref="C15:AF15">C14*C13</f>
        <v>35.566601</v>
      </c>
      <c r="D15" s="141">
        <f t="shared" si="3"/>
        <v>35.566601</v>
      </c>
      <c r="E15" s="141">
        <f t="shared" si="3"/>
        <v>35.566601</v>
      </c>
      <c r="F15" s="141">
        <f t="shared" si="3"/>
        <v>35.566601</v>
      </c>
      <c r="G15" s="141">
        <f t="shared" si="3"/>
        <v>35.566601</v>
      </c>
      <c r="H15" s="251">
        <f t="shared" si="3"/>
        <v>35.566601</v>
      </c>
      <c r="I15" s="241">
        <f t="shared" si="3"/>
        <v>35.566601</v>
      </c>
      <c r="J15" s="152">
        <f t="shared" si="3"/>
        <v>35.566601</v>
      </c>
      <c r="K15" s="152">
        <f t="shared" si="3"/>
        <v>35.566601</v>
      </c>
      <c r="L15" s="152">
        <f t="shared" si="3"/>
        <v>35.566601</v>
      </c>
      <c r="M15" s="152">
        <f t="shared" si="3"/>
        <v>35.566601</v>
      </c>
      <c r="N15" s="264">
        <f t="shared" si="3"/>
        <v>35.566601</v>
      </c>
      <c r="O15" s="275">
        <f t="shared" si="3"/>
        <v>35.566601</v>
      </c>
      <c r="P15" s="159">
        <f t="shared" si="3"/>
        <v>35.566601</v>
      </c>
      <c r="Q15" s="159">
        <f t="shared" si="3"/>
        <v>35.566601</v>
      </c>
      <c r="R15" s="159">
        <f t="shared" si="3"/>
        <v>35.566601</v>
      </c>
      <c r="S15" s="159">
        <f t="shared" si="3"/>
        <v>35.566601</v>
      </c>
      <c r="T15" s="285">
        <f t="shared" si="3"/>
        <v>35.566601</v>
      </c>
      <c r="U15" s="298">
        <f t="shared" si="3"/>
        <v>35.566601</v>
      </c>
      <c r="V15" s="185">
        <f t="shared" si="3"/>
        <v>35.566601</v>
      </c>
      <c r="W15" s="185">
        <f t="shared" si="3"/>
        <v>35.566601</v>
      </c>
      <c r="X15" s="185">
        <f t="shared" si="3"/>
        <v>35.566601</v>
      </c>
      <c r="Y15" s="185">
        <f t="shared" si="3"/>
        <v>35.566601</v>
      </c>
      <c r="Z15" s="299">
        <f t="shared" si="3"/>
        <v>35.566601</v>
      </c>
      <c r="AA15" s="316">
        <f t="shared" si="3"/>
        <v>35.566601</v>
      </c>
      <c r="AB15" s="201">
        <f t="shared" si="3"/>
        <v>35.566601</v>
      </c>
      <c r="AC15" s="201">
        <f t="shared" si="3"/>
        <v>35.566601</v>
      </c>
      <c r="AD15" s="201">
        <f t="shared" si="3"/>
        <v>35.566601</v>
      </c>
      <c r="AE15" s="201">
        <f t="shared" si="3"/>
        <v>35.566601</v>
      </c>
      <c r="AF15" s="201">
        <f t="shared" si="3"/>
        <v>35.566601</v>
      </c>
    </row>
    <row r="16" spans="1:32" ht="12.75">
      <c r="A16" s="424"/>
      <c r="B16" s="146" t="s">
        <v>4</v>
      </c>
      <c r="C16" s="42">
        <f>'Données RW'!C21</f>
        <v>95.8</v>
      </c>
      <c r="D16" s="43">
        <f>'Données RW'!D21</f>
        <v>95.8</v>
      </c>
      <c r="E16" s="43">
        <f>'Données RW'!E21</f>
        <v>95.8</v>
      </c>
      <c r="F16" s="43">
        <f>'Données RW'!F21</f>
        <v>95.8</v>
      </c>
      <c r="G16" s="43">
        <f>'Données RW'!G21</f>
        <v>95.8</v>
      </c>
      <c r="H16" s="44">
        <f>'Données RW'!H21</f>
        <v>95.8</v>
      </c>
      <c r="I16" s="75">
        <f>'Données RW'!I21</f>
        <v>230</v>
      </c>
      <c r="J16" s="76">
        <f>'Données RW'!J21</f>
        <v>230</v>
      </c>
      <c r="K16" s="76">
        <f>'Données RW'!K21</f>
        <v>230</v>
      </c>
      <c r="L16" s="76">
        <f>'Données RW'!L21</f>
        <v>230</v>
      </c>
      <c r="M16" s="76">
        <f>'Données RW'!M21</f>
        <v>230</v>
      </c>
      <c r="N16" s="259">
        <f>'Données RW'!N21</f>
        <v>230</v>
      </c>
      <c r="O16" s="270">
        <f>'Données RW'!O21</f>
        <v>120</v>
      </c>
      <c r="P16" s="98">
        <f>'Données RW'!P21</f>
        <v>120</v>
      </c>
      <c r="Q16" s="98">
        <f>'Données RW'!Q21</f>
        <v>120</v>
      </c>
      <c r="R16" s="98">
        <f>'Données RW'!R21</f>
        <v>120</v>
      </c>
      <c r="S16" s="98">
        <f>'Données RW'!S21</f>
        <v>120</v>
      </c>
      <c r="T16" s="280">
        <f>'Données RW'!T21</f>
        <v>120</v>
      </c>
      <c r="U16" s="168">
        <f>'Données RW'!U21</f>
        <v>118</v>
      </c>
      <c r="V16" s="173">
        <f>'Données RW'!V21</f>
        <v>118</v>
      </c>
      <c r="W16" s="173">
        <f>'Données RW'!W21</f>
        <v>118</v>
      </c>
      <c r="X16" s="173">
        <f>'Données RW'!X21</f>
        <v>118</v>
      </c>
      <c r="Y16" s="173">
        <f>'Données RW'!Y21</f>
        <v>118</v>
      </c>
      <c r="Z16" s="293">
        <f>'Données RW'!Z21</f>
        <v>118</v>
      </c>
      <c r="AA16" s="306">
        <f>'Données RW'!AA21</f>
        <v>118</v>
      </c>
      <c r="AB16" s="194">
        <f>'Données RW'!AB21</f>
        <v>118</v>
      </c>
      <c r="AC16" s="194">
        <f>'Données RW'!AC21</f>
        <v>118</v>
      </c>
      <c r="AD16" s="194">
        <f>'Données RW'!AD21</f>
        <v>118</v>
      </c>
      <c r="AE16" s="194">
        <f>'Données RW'!AE21</f>
        <v>118</v>
      </c>
      <c r="AF16" s="194">
        <f>'Données RW'!AF21</f>
        <v>118</v>
      </c>
    </row>
    <row r="17" spans="1:32" ht="12.75">
      <c r="A17" s="424"/>
      <c r="B17" s="146" t="s">
        <v>5</v>
      </c>
      <c r="C17" s="248">
        <f>'Données RW'!C24</f>
        <v>73.326</v>
      </c>
      <c r="D17" s="41">
        <f>'Données RW'!D24</f>
        <v>73.326</v>
      </c>
      <c r="E17" s="41">
        <f>'Données RW'!E24</f>
        <v>73.326</v>
      </c>
      <c r="F17" s="41">
        <f>'Données RW'!F24</f>
        <v>73.326</v>
      </c>
      <c r="G17" s="41">
        <f>'Données RW'!G24</f>
        <v>73.326</v>
      </c>
      <c r="H17" s="249">
        <f>'Données RW'!H24</f>
        <v>73.326</v>
      </c>
      <c r="I17" s="73">
        <f>'Données RW'!I24</f>
        <v>73.326</v>
      </c>
      <c r="J17" s="74">
        <f>'Données RW'!J24</f>
        <v>73.326</v>
      </c>
      <c r="K17" s="74">
        <f>'Données RW'!K24</f>
        <v>73.326</v>
      </c>
      <c r="L17" s="74">
        <f>'Données RW'!L24</f>
        <v>73.326</v>
      </c>
      <c r="M17" s="74">
        <f>'Données RW'!M24</f>
        <v>73.326</v>
      </c>
      <c r="N17" s="263">
        <f>'Données RW'!N24</f>
        <v>73.326</v>
      </c>
      <c r="O17" s="274">
        <f>'Données RW'!O24</f>
        <v>73.326</v>
      </c>
      <c r="P17" s="95">
        <f>'Données RW'!P24</f>
        <v>73.326</v>
      </c>
      <c r="Q17" s="95">
        <f>'Données RW'!Q24</f>
        <v>73.326</v>
      </c>
      <c r="R17" s="95">
        <f>'Données RW'!R24</f>
        <v>73.326</v>
      </c>
      <c r="S17" s="95">
        <f>'Données RW'!S24</f>
        <v>73.326</v>
      </c>
      <c r="T17" s="284">
        <f>'Données RW'!T24</f>
        <v>73.326</v>
      </c>
      <c r="U17" s="177">
        <f>'Données RW'!U24</f>
        <v>73.326</v>
      </c>
      <c r="V17" s="172">
        <f>'Données RW'!V24</f>
        <v>73.326</v>
      </c>
      <c r="W17" s="172">
        <f>'Données RW'!W24</f>
        <v>73.326</v>
      </c>
      <c r="X17" s="172">
        <f>'Données RW'!X24</f>
        <v>73.326</v>
      </c>
      <c r="Y17" s="172">
        <f>'Données RW'!Y24</f>
        <v>73.326</v>
      </c>
      <c r="Z17" s="297">
        <f>'Données RW'!Z24</f>
        <v>73.326</v>
      </c>
      <c r="AA17" s="314">
        <f>'Données RW'!AA24</f>
        <v>73.326</v>
      </c>
      <c r="AB17" s="193">
        <f>'Données RW'!AB24</f>
        <v>73.326</v>
      </c>
      <c r="AC17" s="193">
        <f>'Données RW'!AC24</f>
        <v>73.326</v>
      </c>
      <c r="AD17" s="193">
        <f>'Données RW'!AD24</f>
        <v>73.326</v>
      </c>
      <c r="AE17" s="193">
        <f>'Données RW'!AE24</f>
        <v>73.326</v>
      </c>
      <c r="AF17" s="193">
        <f>'Données RW'!AF24</f>
        <v>73.326</v>
      </c>
    </row>
    <row r="18" spans="1:32" ht="12.75">
      <c r="A18" s="424"/>
      <c r="B18" s="146" t="s">
        <v>6</v>
      </c>
      <c r="C18" s="250">
        <f aca="true" t="shared" si="4" ref="C18:AF18">C15*C17</f>
        <v>2607.956584926</v>
      </c>
      <c r="D18" s="141">
        <f t="shared" si="4"/>
        <v>2607.956584926</v>
      </c>
      <c r="E18" s="141">
        <f t="shared" si="4"/>
        <v>2607.956584926</v>
      </c>
      <c r="F18" s="141">
        <f t="shared" si="4"/>
        <v>2607.956584926</v>
      </c>
      <c r="G18" s="141">
        <f t="shared" si="4"/>
        <v>2607.956584926</v>
      </c>
      <c r="H18" s="251">
        <f t="shared" si="4"/>
        <v>2607.956584926</v>
      </c>
      <c r="I18" s="241">
        <f t="shared" si="4"/>
        <v>2607.956584926</v>
      </c>
      <c r="J18" s="152">
        <f t="shared" si="4"/>
        <v>2607.956584926</v>
      </c>
      <c r="K18" s="152">
        <f t="shared" si="4"/>
        <v>2607.956584926</v>
      </c>
      <c r="L18" s="152">
        <f t="shared" si="4"/>
        <v>2607.956584926</v>
      </c>
      <c r="M18" s="152">
        <f t="shared" si="4"/>
        <v>2607.956584926</v>
      </c>
      <c r="N18" s="264">
        <f t="shared" si="4"/>
        <v>2607.956584926</v>
      </c>
      <c r="O18" s="275">
        <f t="shared" si="4"/>
        <v>2607.956584926</v>
      </c>
      <c r="P18" s="159">
        <f t="shared" si="4"/>
        <v>2607.956584926</v>
      </c>
      <c r="Q18" s="159">
        <f t="shared" si="4"/>
        <v>2607.956584926</v>
      </c>
      <c r="R18" s="159">
        <f t="shared" si="4"/>
        <v>2607.956584926</v>
      </c>
      <c r="S18" s="159">
        <f t="shared" si="4"/>
        <v>2607.956584926</v>
      </c>
      <c r="T18" s="285">
        <f t="shared" si="4"/>
        <v>2607.956584926</v>
      </c>
      <c r="U18" s="298">
        <f t="shared" si="4"/>
        <v>2607.956584926</v>
      </c>
      <c r="V18" s="185">
        <f t="shared" si="4"/>
        <v>2607.956584926</v>
      </c>
      <c r="W18" s="185">
        <f t="shared" si="4"/>
        <v>2607.956584926</v>
      </c>
      <c r="X18" s="185">
        <f t="shared" si="4"/>
        <v>2607.956584926</v>
      </c>
      <c r="Y18" s="185">
        <f t="shared" si="4"/>
        <v>2607.956584926</v>
      </c>
      <c r="Z18" s="299">
        <f t="shared" si="4"/>
        <v>2607.956584926</v>
      </c>
      <c r="AA18" s="316">
        <f t="shared" si="4"/>
        <v>2607.956584926</v>
      </c>
      <c r="AB18" s="201">
        <f t="shared" si="4"/>
        <v>2607.956584926</v>
      </c>
      <c r="AC18" s="201">
        <f t="shared" si="4"/>
        <v>2607.956584926</v>
      </c>
      <c r="AD18" s="201">
        <f t="shared" si="4"/>
        <v>2607.956584926</v>
      </c>
      <c r="AE18" s="201">
        <f t="shared" si="4"/>
        <v>2607.956584926</v>
      </c>
      <c r="AF18" s="201">
        <f t="shared" si="4"/>
        <v>2607.956584926</v>
      </c>
    </row>
    <row r="19" spans="1:32" ht="12.75">
      <c r="A19" s="424"/>
      <c r="B19" s="146" t="s">
        <v>7</v>
      </c>
      <c r="C19" s="252">
        <f aca="true" t="shared" si="5" ref="C19:AF19">C12*C17</f>
        <v>249842.24083591075</v>
      </c>
      <c r="D19" s="142">
        <f t="shared" si="5"/>
        <v>249842.24083591075</v>
      </c>
      <c r="E19" s="142">
        <f t="shared" si="5"/>
        <v>249842.24083591075</v>
      </c>
      <c r="F19" s="142">
        <f t="shared" si="5"/>
        <v>249842.24083591075</v>
      </c>
      <c r="G19" s="142">
        <f t="shared" si="5"/>
        <v>249842.24083591075</v>
      </c>
      <c r="H19" s="253">
        <f t="shared" si="5"/>
        <v>249842.24083591075</v>
      </c>
      <c r="I19" s="242">
        <f t="shared" si="5"/>
        <v>599830.0145329799</v>
      </c>
      <c r="J19" s="153">
        <f t="shared" si="5"/>
        <v>599830.0145329799</v>
      </c>
      <c r="K19" s="153">
        <f t="shared" si="5"/>
        <v>599830.0145329799</v>
      </c>
      <c r="L19" s="153">
        <f t="shared" si="5"/>
        <v>599830.0145329799</v>
      </c>
      <c r="M19" s="153">
        <f t="shared" si="5"/>
        <v>599830.0145329799</v>
      </c>
      <c r="N19" s="265">
        <f t="shared" si="5"/>
        <v>599830.0145329799</v>
      </c>
      <c r="O19" s="276">
        <f t="shared" si="5"/>
        <v>312954.79019111994</v>
      </c>
      <c r="P19" s="160">
        <f t="shared" si="5"/>
        <v>312954.79019111994</v>
      </c>
      <c r="Q19" s="160">
        <f t="shared" si="5"/>
        <v>312954.79019111994</v>
      </c>
      <c r="R19" s="160">
        <f t="shared" si="5"/>
        <v>312954.79019111994</v>
      </c>
      <c r="S19" s="160">
        <f t="shared" si="5"/>
        <v>312954.79019111994</v>
      </c>
      <c r="T19" s="286">
        <f t="shared" si="5"/>
        <v>312954.79019111994</v>
      </c>
      <c r="U19" s="300">
        <f t="shared" si="5"/>
        <v>307738.87702126795</v>
      </c>
      <c r="V19" s="186">
        <f t="shared" si="5"/>
        <v>307738.87702126795</v>
      </c>
      <c r="W19" s="186">
        <f t="shared" si="5"/>
        <v>307738.87702126795</v>
      </c>
      <c r="X19" s="186">
        <f t="shared" si="5"/>
        <v>307738.87702126795</v>
      </c>
      <c r="Y19" s="186">
        <f t="shared" si="5"/>
        <v>307738.87702126795</v>
      </c>
      <c r="Z19" s="301">
        <f t="shared" si="5"/>
        <v>307738.87702126795</v>
      </c>
      <c r="AA19" s="318">
        <f t="shared" si="5"/>
        <v>307738.87702126795</v>
      </c>
      <c r="AB19" s="202">
        <f t="shared" si="5"/>
        <v>307738.87702126795</v>
      </c>
      <c r="AC19" s="202">
        <f t="shared" si="5"/>
        <v>307738.87702126795</v>
      </c>
      <c r="AD19" s="202">
        <f t="shared" si="5"/>
        <v>307738.87702126795</v>
      </c>
      <c r="AE19" s="202">
        <f t="shared" si="5"/>
        <v>307738.87702126795</v>
      </c>
      <c r="AF19" s="202">
        <f t="shared" si="5"/>
        <v>307738.87702126795</v>
      </c>
    </row>
    <row r="20" spans="1:33" ht="12.75">
      <c r="A20" s="424"/>
      <c r="B20" s="146" t="s">
        <v>133</v>
      </c>
      <c r="C20" s="252">
        <f aca="true" t="shared" si="6" ref="C20:AF20">C19/C9</f>
        <v>33588.39538821254</v>
      </c>
      <c r="D20" s="142">
        <f t="shared" si="6"/>
        <v>33477.45421893485</v>
      </c>
      <c r="E20" s="142">
        <f t="shared" si="6"/>
        <v>33707.80367456972</v>
      </c>
      <c r="F20" s="142">
        <f t="shared" si="6"/>
        <v>31949.135656766084</v>
      </c>
      <c r="G20" s="142">
        <f t="shared" si="6"/>
        <v>39506.995704603214</v>
      </c>
      <c r="H20" s="580">
        <f t="shared" si="6"/>
        <v>34458.62227927878</v>
      </c>
      <c r="I20" s="581">
        <f t="shared" si="6"/>
        <v>30668.915737457966</v>
      </c>
      <c r="J20" s="153">
        <f t="shared" si="6"/>
        <v>29044.926569741132</v>
      </c>
      <c r="K20" s="153">
        <f t="shared" si="6"/>
        <v>31473.922475232444</v>
      </c>
      <c r="L20" s="153">
        <f t="shared" si="6"/>
        <v>30260.21140391577</v>
      </c>
      <c r="M20" s="153">
        <f t="shared" si="6"/>
        <v>33897.12779069259</v>
      </c>
      <c r="N20" s="582">
        <f t="shared" si="6"/>
        <v>31231.06155996396</v>
      </c>
      <c r="O20" s="160">
        <f t="shared" si="6"/>
        <v>29623.712218027176</v>
      </c>
      <c r="P20" s="160">
        <f t="shared" si="6"/>
        <v>30470.46082189828</v>
      </c>
      <c r="Q20" s="160">
        <f t="shared" si="6"/>
        <v>28749.37671819519</v>
      </c>
      <c r="R20" s="160">
        <f t="shared" si="6"/>
        <v>30419.163749807536</v>
      </c>
      <c r="S20" s="160">
        <f t="shared" si="6"/>
        <v>30887.150884419963</v>
      </c>
      <c r="T20" s="160">
        <f t="shared" si="6"/>
        <v>30860.77415437349</v>
      </c>
      <c r="U20" s="300">
        <f t="shared" si="6"/>
        <v>93842.85579888023</v>
      </c>
      <c r="V20" s="300">
        <f t="shared" si="6"/>
        <v>68439.6479531342</v>
      </c>
      <c r="W20" s="186">
        <f t="shared" si="6"/>
        <v>95526.57986070712</v>
      </c>
      <c r="X20" s="186">
        <f t="shared" si="6"/>
        <v>94037.85394079999</v>
      </c>
      <c r="Y20" s="186">
        <f t="shared" si="6"/>
        <v>104036.13151496551</v>
      </c>
      <c r="Z20" s="186">
        <f t="shared" si="6"/>
        <v>95526.57986070712</v>
      </c>
      <c r="AA20" s="583">
        <f t="shared" si="6"/>
        <v>93842.85579888023</v>
      </c>
      <c r="AB20" s="583">
        <f t="shared" si="6"/>
        <v>68439.6479531342</v>
      </c>
      <c r="AC20" s="202">
        <f t="shared" si="6"/>
        <v>95526.57986070712</v>
      </c>
      <c r="AD20" s="202">
        <f t="shared" si="6"/>
        <v>94037.85394079999</v>
      </c>
      <c r="AE20" s="202">
        <f t="shared" si="6"/>
        <v>104036.13151496551</v>
      </c>
      <c r="AF20" s="685">
        <f t="shared" si="6"/>
        <v>95526.57986070712</v>
      </c>
      <c r="AG20" s="687"/>
    </row>
    <row r="21" spans="1:33" ht="12.75">
      <c r="A21" s="424"/>
      <c r="B21" s="146" t="s">
        <v>40</v>
      </c>
      <c r="C21" s="54">
        <f aca="true" t="shared" si="7" ref="C21:AF21">C19/C83</f>
        <v>2.062981518384301</v>
      </c>
      <c r="D21" s="140">
        <f t="shared" si="7"/>
        <v>2.0561675703167444</v>
      </c>
      <c r="E21" s="140">
        <f t="shared" si="7"/>
        <v>2.0703155123143366</v>
      </c>
      <c r="F21" s="140">
        <f t="shared" si="7"/>
        <v>1.9622990508022844</v>
      </c>
      <c r="G21" s="140">
        <f t="shared" si="7"/>
        <v>2.426498826260889</v>
      </c>
      <c r="H21" s="584">
        <f t="shared" si="7"/>
        <v>2.1164303947691696</v>
      </c>
      <c r="I21" s="585">
        <f t="shared" si="7"/>
        <v>2.3001703678884873</v>
      </c>
      <c r="J21" s="151">
        <f t="shared" si="7"/>
        <v>2.1783710909485534</v>
      </c>
      <c r="K21" s="151">
        <f t="shared" si="7"/>
        <v>2.3605459175176478</v>
      </c>
      <c r="L21" s="151">
        <f t="shared" si="7"/>
        <v>2.269517520383573</v>
      </c>
      <c r="M21" s="151">
        <f t="shared" si="7"/>
        <v>2.5422864495157738</v>
      </c>
      <c r="N21" s="586">
        <f t="shared" si="7"/>
        <v>2.3423313355089155</v>
      </c>
      <c r="O21" s="158">
        <f t="shared" si="7"/>
        <v>1.6137490411579212</v>
      </c>
      <c r="P21" s="158">
        <f t="shared" si="7"/>
        <v>1.6598755946952346</v>
      </c>
      <c r="Q21" s="158">
        <f t="shared" si="7"/>
        <v>1.566119693960659</v>
      </c>
      <c r="R21" s="158">
        <f t="shared" si="7"/>
        <v>1.6570811913371617</v>
      </c>
      <c r="S21" s="158">
        <f t="shared" si="7"/>
        <v>1.6825747481269646</v>
      </c>
      <c r="T21" s="158">
        <f t="shared" si="7"/>
        <v>1.6811378781456434</v>
      </c>
      <c r="U21" s="174">
        <f t="shared" si="7"/>
        <v>3.607872035691783</v>
      </c>
      <c r="V21" s="174">
        <f t="shared" si="7"/>
        <v>2.6312231216822117</v>
      </c>
      <c r="W21" s="184">
        <f t="shared" si="7"/>
        <v>3.672604304406042</v>
      </c>
      <c r="X21" s="184">
        <f t="shared" si="7"/>
        <v>3.615368912649065</v>
      </c>
      <c r="Y21" s="184">
        <f t="shared" si="7"/>
        <v>3.9997615843962357</v>
      </c>
      <c r="Z21" s="184">
        <f t="shared" si="7"/>
        <v>3.672604304406042</v>
      </c>
      <c r="AA21" s="587">
        <f t="shared" si="7"/>
        <v>3.8481848518853488</v>
      </c>
      <c r="AB21" s="587">
        <f t="shared" si="7"/>
        <v>2.806483394815439</v>
      </c>
      <c r="AC21" s="195">
        <f t="shared" si="7"/>
        <v>3.9172288017344785</v>
      </c>
      <c r="AD21" s="195">
        <f t="shared" si="7"/>
        <v>3.8561810801490064</v>
      </c>
      <c r="AE21" s="195">
        <f t="shared" si="7"/>
        <v>4.266177344417723</v>
      </c>
      <c r="AF21" s="686">
        <f t="shared" si="7"/>
        <v>3.9172288017344785</v>
      </c>
      <c r="AG21" s="688"/>
    </row>
    <row r="22" spans="1:32" ht="12.75">
      <c r="A22" s="424"/>
      <c r="B22" s="146" t="s">
        <v>26</v>
      </c>
      <c r="C22" s="254">
        <f>'Données RW'!C25</f>
        <v>1.16</v>
      </c>
      <c r="D22" s="143">
        <f>'Données RW'!D25</f>
        <v>1.16</v>
      </c>
      <c r="E22" s="143">
        <f>'Données RW'!E25</f>
        <v>1.16</v>
      </c>
      <c r="F22" s="143">
        <f>'Données RW'!F25</f>
        <v>1.16</v>
      </c>
      <c r="G22" s="143">
        <f>'Données RW'!G25</f>
        <v>1.16</v>
      </c>
      <c r="H22" s="255">
        <f>'Données RW'!H25</f>
        <v>1.16</v>
      </c>
      <c r="I22" s="83">
        <f>'Données RW'!I25</f>
        <v>1.16</v>
      </c>
      <c r="J22" s="84">
        <f>'Données RW'!J25</f>
        <v>1.16</v>
      </c>
      <c r="K22" s="84">
        <f>'Données RW'!K25</f>
        <v>1.16</v>
      </c>
      <c r="L22" s="84">
        <f>'Données RW'!L25</f>
        <v>1.16</v>
      </c>
      <c r="M22" s="84">
        <f>'Données RW'!M25</f>
        <v>1.16</v>
      </c>
      <c r="N22" s="266">
        <f>'Données RW'!N25</f>
        <v>1.16</v>
      </c>
      <c r="O22" s="277">
        <f>'Données RW'!O25</f>
        <v>1.16</v>
      </c>
      <c r="P22" s="161">
        <f>'Données RW'!P25</f>
        <v>1.16</v>
      </c>
      <c r="Q22" s="161">
        <f>'Données RW'!Q25</f>
        <v>1.16</v>
      </c>
      <c r="R22" s="161">
        <f>'Données RW'!R25</f>
        <v>1.16</v>
      </c>
      <c r="S22" s="161">
        <f>'Données RW'!S25</f>
        <v>1.16</v>
      </c>
      <c r="T22" s="287">
        <f>'Données RW'!T25</f>
        <v>1.16</v>
      </c>
      <c r="U22" s="302">
        <f>'Données RW'!U25</f>
        <v>1.16</v>
      </c>
      <c r="V22" s="187">
        <f>'Données RW'!V25</f>
        <v>1.16</v>
      </c>
      <c r="W22" s="187">
        <f>'Données RW'!W25</f>
        <v>1.16</v>
      </c>
      <c r="X22" s="187">
        <f>'Données RW'!X25</f>
        <v>1.16</v>
      </c>
      <c r="Y22" s="187">
        <f>'Données RW'!Y25</f>
        <v>1.16</v>
      </c>
      <c r="Z22" s="303">
        <f>'Données RW'!Z25</f>
        <v>1.16</v>
      </c>
      <c r="AA22" s="320">
        <f>'Données RW'!AA25</f>
        <v>1.16</v>
      </c>
      <c r="AB22" s="203">
        <f>'Données RW'!AB25</f>
        <v>1.16</v>
      </c>
      <c r="AC22" s="203">
        <f>'Données RW'!AC25</f>
        <v>1.16</v>
      </c>
      <c r="AD22" s="203">
        <f>'Données RW'!AD25</f>
        <v>1.16</v>
      </c>
      <c r="AE22" s="203">
        <f>'Données RW'!AE25</f>
        <v>1.16</v>
      </c>
      <c r="AF22" s="203">
        <f>'Données RW'!AF25</f>
        <v>1.16</v>
      </c>
    </row>
    <row r="23" spans="1:32" ht="12.75">
      <c r="A23" s="424"/>
      <c r="B23" s="146" t="s">
        <v>8</v>
      </c>
      <c r="C23" s="252">
        <f aca="true" t="shared" si="8" ref="C23:AF23">C22*C12</f>
        <v>3952.4452359279994</v>
      </c>
      <c r="D23" s="142">
        <f t="shared" si="8"/>
        <v>3952.4452359279994</v>
      </c>
      <c r="E23" s="142">
        <f t="shared" si="8"/>
        <v>3952.4452359279994</v>
      </c>
      <c r="F23" s="142">
        <f t="shared" si="8"/>
        <v>3952.4452359279994</v>
      </c>
      <c r="G23" s="142">
        <f t="shared" si="8"/>
        <v>3952.4452359279994</v>
      </c>
      <c r="H23" s="253">
        <f t="shared" si="8"/>
        <v>3952.4452359279994</v>
      </c>
      <c r="I23" s="242">
        <f t="shared" si="8"/>
        <v>9489.169146799999</v>
      </c>
      <c r="J23" s="153">
        <f t="shared" si="8"/>
        <v>9489.169146799999</v>
      </c>
      <c r="K23" s="153">
        <f t="shared" si="8"/>
        <v>9489.169146799999</v>
      </c>
      <c r="L23" s="153">
        <f t="shared" si="8"/>
        <v>9489.169146799999</v>
      </c>
      <c r="M23" s="153">
        <f t="shared" si="8"/>
        <v>9489.169146799999</v>
      </c>
      <c r="N23" s="265">
        <f t="shared" si="8"/>
        <v>9489.169146799999</v>
      </c>
      <c r="O23" s="276">
        <f t="shared" si="8"/>
        <v>4950.870859199999</v>
      </c>
      <c r="P23" s="160">
        <f t="shared" si="8"/>
        <v>4950.870859199999</v>
      </c>
      <c r="Q23" s="160">
        <f t="shared" si="8"/>
        <v>4950.870859199999</v>
      </c>
      <c r="R23" s="160">
        <f t="shared" si="8"/>
        <v>4950.870859199999</v>
      </c>
      <c r="S23" s="160">
        <f t="shared" si="8"/>
        <v>4950.870859199999</v>
      </c>
      <c r="T23" s="286">
        <f t="shared" si="8"/>
        <v>4950.870859199999</v>
      </c>
      <c r="U23" s="300">
        <f t="shared" si="8"/>
        <v>4868.35634488</v>
      </c>
      <c r="V23" s="186">
        <f t="shared" si="8"/>
        <v>4868.35634488</v>
      </c>
      <c r="W23" s="186">
        <f t="shared" si="8"/>
        <v>4868.35634488</v>
      </c>
      <c r="X23" s="186">
        <f t="shared" si="8"/>
        <v>4868.35634488</v>
      </c>
      <c r="Y23" s="186">
        <f t="shared" si="8"/>
        <v>4868.35634488</v>
      </c>
      <c r="Z23" s="301">
        <f t="shared" si="8"/>
        <v>4868.35634488</v>
      </c>
      <c r="AA23" s="318">
        <f t="shared" si="8"/>
        <v>4868.35634488</v>
      </c>
      <c r="AB23" s="202">
        <f t="shared" si="8"/>
        <v>4868.35634488</v>
      </c>
      <c r="AC23" s="202">
        <f t="shared" si="8"/>
        <v>4868.35634488</v>
      </c>
      <c r="AD23" s="202">
        <f t="shared" si="8"/>
        <v>4868.35634488</v>
      </c>
      <c r="AE23" s="202">
        <f t="shared" si="8"/>
        <v>4868.35634488</v>
      </c>
      <c r="AF23" s="202">
        <f t="shared" si="8"/>
        <v>4868.35634488</v>
      </c>
    </row>
    <row r="24" spans="1:32" ht="13.5" thickBot="1">
      <c r="A24" s="425"/>
      <c r="B24" s="238" t="s">
        <v>100</v>
      </c>
      <c r="C24" s="350">
        <f aca="true" t="shared" si="9" ref="C24:AF24">C23/C10</f>
        <v>0.031256498898814926</v>
      </c>
      <c r="D24" s="351">
        <f t="shared" si="9"/>
        <v>0.031153259893340477</v>
      </c>
      <c r="E24" s="351">
        <f t="shared" si="9"/>
        <v>0.03136761718618456</v>
      </c>
      <c r="F24" s="351">
        <f t="shared" si="9"/>
        <v>0.029731045854731453</v>
      </c>
      <c r="G24" s="351">
        <f t="shared" si="9"/>
        <v>0.03676419648703351</v>
      </c>
      <c r="H24" s="352">
        <f t="shared" si="9"/>
        <v>0.03206630971436453</v>
      </c>
      <c r="I24" s="353">
        <f t="shared" si="9"/>
        <v>0.028539706047169884</v>
      </c>
      <c r="J24" s="354">
        <f t="shared" si="9"/>
        <v>0.027028463397863623</v>
      </c>
      <c r="K24" s="354">
        <f t="shared" si="9"/>
        <v>0.029288824661559448</v>
      </c>
      <c r="L24" s="354">
        <f t="shared" si="9"/>
        <v>0.02815937628137864</v>
      </c>
      <c r="M24" s="354">
        <f t="shared" si="9"/>
        <v>0.03154379735075385</v>
      </c>
      <c r="N24" s="355">
        <f t="shared" si="9"/>
        <v>0.029062824525413658</v>
      </c>
      <c r="O24" s="356">
        <f t="shared" si="9"/>
        <v>0.021899071495665834</v>
      </c>
      <c r="P24" s="357">
        <f t="shared" si="9"/>
        <v>0.02252502303335814</v>
      </c>
      <c r="Q24" s="357">
        <f t="shared" si="9"/>
        <v>0.021252726585173232</v>
      </c>
      <c r="R24" s="357">
        <f t="shared" si="9"/>
        <v>0.022487102119160565</v>
      </c>
      <c r="S24" s="357">
        <f t="shared" si="9"/>
        <v>0.02283305753637842</v>
      </c>
      <c r="T24" s="358">
        <f t="shared" si="9"/>
        <v>0.022813558768200473</v>
      </c>
      <c r="U24" s="359">
        <f t="shared" si="9"/>
        <v>0.056021577831900385</v>
      </c>
      <c r="V24" s="360">
        <f t="shared" si="9"/>
        <v>0.04085656848307593</v>
      </c>
      <c r="W24" s="360">
        <f t="shared" si="9"/>
        <v>0.05702671432070493</v>
      </c>
      <c r="X24" s="360">
        <f t="shared" si="9"/>
        <v>0.05613798630531732</v>
      </c>
      <c r="Y24" s="360">
        <f t="shared" si="9"/>
        <v>0.06210668025157234</v>
      </c>
      <c r="Z24" s="361">
        <f t="shared" si="9"/>
        <v>0.05702671432070493</v>
      </c>
      <c r="AA24" s="362">
        <f t="shared" si="9"/>
        <v>0.056021577831900385</v>
      </c>
      <c r="AB24" s="363">
        <f t="shared" si="9"/>
        <v>0.04085656848307593</v>
      </c>
      <c r="AC24" s="363">
        <f t="shared" si="9"/>
        <v>0.05702671432070493</v>
      </c>
      <c r="AD24" s="363">
        <f t="shared" si="9"/>
        <v>0.05613798630531732</v>
      </c>
      <c r="AE24" s="363">
        <f t="shared" si="9"/>
        <v>0.06210668025157234</v>
      </c>
      <c r="AF24" s="363">
        <f t="shared" si="9"/>
        <v>0.05702671432070493</v>
      </c>
    </row>
    <row r="25" spans="1:32" ht="13.5" thickBot="1">
      <c r="A25" s="424"/>
      <c r="B25" s="146"/>
      <c r="C25" s="45"/>
      <c r="D25" s="46"/>
      <c r="E25" s="46"/>
      <c r="F25" s="46"/>
      <c r="G25" s="46"/>
      <c r="H25" s="47"/>
      <c r="I25" s="77"/>
      <c r="J25" s="78"/>
      <c r="K25" s="78"/>
      <c r="L25" s="78"/>
      <c r="M25" s="78"/>
      <c r="N25" s="365"/>
      <c r="O25" s="366"/>
      <c r="P25" s="101"/>
      <c r="Q25" s="101"/>
      <c r="R25" s="101"/>
      <c r="S25" s="101"/>
      <c r="T25" s="124"/>
      <c r="U25" s="169"/>
      <c r="V25" s="178"/>
      <c r="W25" s="178"/>
      <c r="X25" s="178"/>
      <c r="Y25" s="178"/>
      <c r="Z25" s="367"/>
      <c r="AA25" s="332"/>
      <c r="AB25" s="333"/>
      <c r="AC25" s="333"/>
      <c r="AD25" s="333"/>
      <c r="AE25" s="333"/>
      <c r="AF25" s="334"/>
    </row>
    <row r="26" spans="1:32" ht="12.75">
      <c r="A26" s="423" t="s">
        <v>11</v>
      </c>
      <c r="B26" s="237" t="s">
        <v>12</v>
      </c>
      <c r="C26" s="59">
        <f>'Données RW'!C28</f>
        <v>98.95701291251955</v>
      </c>
      <c r="D26" s="60">
        <f>'Données RW'!D28</f>
        <v>117.35883847288022</v>
      </c>
      <c r="E26" s="60">
        <f>'Données RW'!E28</f>
        <v>114.39703846548174</v>
      </c>
      <c r="F26" s="60">
        <f>'Données RW'!F28</f>
        <v>96.11133823323274</v>
      </c>
      <c r="G26" s="60">
        <f>'Données RW'!G28</f>
        <v>69.40550274232837</v>
      </c>
      <c r="H26" s="61">
        <f>'Données RW'!H28</f>
        <v>100.51187664641382</v>
      </c>
      <c r="I26" s="368">
        <f>'Données RW'!I28</f>
        <v>98.95701291251955</v>
      </c>
      <c r="J26" s="369">
        <f>'Données RW'!J28</f>
        <v>117.35883847288022</v>
      </c>
      <c r="K26" s="369">
        <f>'Données RW'!K28</f>
        <v>114.39703846548174</v>
      </c>
      <c r="L26" s="369">
        <f>'Données RW'!L28</f>
        <v>96.11133823323274</v>
      </c>
      <c r="M26" s="369">
        <f>'Données RW'!M28</f>
        <v>69.40550274232837</v>
      </c>
      <c r="N26" s="370">
        <f>'Données RW'!N28</f>
        <v>100.51187664641382</v>
      </c>
      <c r="O26" s="371">
        <f>'Données RW'!O28</f>
        <v>98.95701291251955</v>
      </c>
      <c r="P26" s="372">
        <f>'Données RW'!P28</f>
        <v>117.35883847288022</v>
      </c>
      <c r="Q26" s="372">
        <f>'Données RW'!Q28</f>
        <v>114.39703846548174</v>
      </c>
      <c r="R26" s="372">
        <f>'Données RW'!R28</f>
        <v>96.11133823323274</v>
      </c>
      <c r="S26" s="372">
        <f>'Données RW'!S28</f>
        <v>69.40550274232837</v>
      </c>
      <c r="T26" s="373">
        <f>'Données RW'!T28</f>
        <v>100.51187664641382</v>
      </c>
      <c r="U26" s="374">
        <f>'Données RW'!U28</f>
        <v>98.95701291251955</v>
      </c>
      <c r="V26" s="375">
        <f>'Données RW'!V28</f>
        <v>117.35883847288022</v>
      </c>
      <c r="W26" s="375">
        <f>'Données RW'!W28</f>
        <v>114.39703846548174</v>
      </c>
      <c r="X26" s="375">
        <f>'Données RW'!X28</f>
        <v>96.11133823323274</v>
      </c>
      <c r="Y26" s="375">
        <f>'Données RW'!Y28</f>
        <v>69.40550274232837</v>
      </c>
      <c r="Z26" s="376">
        <f>'Données RW'!Z28</f>
        <v>100.51187664641382</v>
      </c>
      <c r="AA26" s="377">
        <f>'Données RW'!AA28</f>
        <v>98.95701291251955</v>
      </c>
      <c r="AB26" s="378">
        <f>'Données RW'!AB28</f>
        <v>117.35883847288022</v>
      </c>
      <c r="AC26" s="378">
        <f>'Données RW'!AC28</f>
        <v>114.39703846548174</v>
      </c>
      <c r="AD26" s="378">
        <f>'Données RW'!AD28</f>
        <v>96.11133823323274</v>
      </c>
      <c r="AE26" s="378">
        <f>'Données RW'!AE28</f>
        <v>69.40550274232837</v>
      </c>
      <c r="AF26" s="379">
        <f>'Données RW'!AF28</f>
        <v>100.51187664641382</v>
      </c>
    </row>
    <row r="27" spans="1:32" ht="12.75">
      <c r="A27" s="424"/>
      <c r="B27" s="146" t="s">
        <v>27</v>
      </c>
      <c r="C27" s="250">
        <f>'Données RW'!C29</f>
        <v>5269</v>
      </c>
      <c r="D27" s="141">
        <f>'Données RW'!D29</f>
        <v>5269</v>
      </c>
      <c r="E27" s="141">
        <f>'Données RW'!E29</f>
        <v>5269</v>
      </c>
      <c r="F27" s="141">
        <f>'Données RW'!F29</f>
        <v>5269</v>
      </c>
      <c r="G27" s="141">
        <f>'Données RW'!G29</f>
        <v>5269</v>
      </c>
      <c r="H27" s="251">
        <f>'Données RW'!H29</f>
        <v>5269</v>
      </c>
      <c r="I27" s="241">
        <f>'Données RW'!I29</f>
        <v>5269</v>
      </c>
      <c r="J27" s="152">
        <f>'Données RW'!J29</f>
        <v>5269</v>
      </c>
      <c r="K27" s="152">
        <f>'Données RW'!K29</f>
        <v>5269</v>
      </c>
      <c r="L27" s="152">
        <f>'Données RW'!L29</f>
        <v>5269</v>
      </c>
      <c r="M27" s="152">
        <f>'Données RW'!M29</f>
        <v>5269</v>
      </c>
      <c r="N27" s="264">
        <f>'Données RW'!N29</f>
        <v>5269</v>
      </c>
      <c r="O27" s="275">
        <f>'Données RW'!O29</f>
        <v>5269</v>
      </c>
      <c r="P27" s="159">
        <f>'Données RW'!P29</f>
        <v>5269</v>
      </c>
      <c r="Q27" s="159">
        <f>'Données RW'!Q29</f>
        <v>5269</v>
      </c>
      <c r="R27" s="159">
        <f>'Données RW'!R29</f>
        <v>5269</v>
      </c>
      <c r="S27" s="159">
        <f>'Données RW'!S29</f>
        <v>5269</v>
      </c>
      <c r="T27" s="285">
        <f>'Données RW'!T29</f>
        <v>5269</v>
      </c>
      <c r="U27" s="298">
        <f>'Données RW'!U29</f>
        <v>5269</v>
      </c>
      <c r="V27" s="185">
        <f>'Données RW'!V29</f>
        <v>5269</v>
      </c>
      <c r="W27" s="185">
        <f>'Données RW'!W29</f>
        <v>5269</v>
      </c>
      <c r="X27" s="185">
        <f>'Données RW'!X29</f>
        <v>5269</v>
      </c>
      <c r="Y27" s="185">
        <f>'Données RW'!Y29</f>
        <v>5269</v>
      </c>
      <c r="Z27" s="299">
        <f>'Données RW'!Z29</f>
        <v>5269</v>
      </c>
      <c r="AA27" s="316">
        <f>'Données RW'!AA29</f>
        <v>5269</v>
      </c>
      <c r="AB27" s="201">
        <f>'Données RW'!AB29</f>
        <v>5269</v>
      </c>
      <c r="AC27" s="201">
        <f>'Données RW'!AC29</f>
        <v>5269</v>
      </c>
      <c r="AD27" s="201">
        <f>'Données RW'!AD29</f>
        <v>5269</v>
      </c>
      <c r="AE27" s="201">
        <f>'Données RW'!AE29</f>
        <v>5269</v>
      </c>
      <c r="AF27" s="317">
        <f>'Données RW'!AF29</f>
        <v>5269</v>
      </c>
    </row>
    <row r="28" spans="1:32" ht="12.75">
      <c r="A28" s="424"/>
      <c r="B28" s="146" t="s">
        <v>7</v>
      </c>
      <c r="C28" s="252">
        <f>C26*C27</f>
        <v>521404.50103606546</v>
      </c>
      <c r="D28" s="142">
        <f aca="true" t="shared" si="10" ref="D28:AF28">D26*D27</f>
        <v>618363.719913606</v>
      </c>
      <c r="E28" s="142">
        <f t="shared" si="10"/>
        <v>602757.9956746233</v>
      </c>
      <c r="F28" s="142">
        <f t="shared" si="10"/>
        <v>506410.6411509033</v>
      </c>
      <c r="G28" s="142">
        <f t="shared" si="10"/>
        <v>365697.5939493282</v>
      </c>
      <c r="H28" s="253">
        <f t="shared" si="10"/>
        <v>529597.0780499545</v>
      </c>
      <c r="I28" s="242">
        <f t="shared" si="10"/>
        <v>521404.50103606546</v>
      </c>
      <c r="J28" s="153">
        <f t="shared" si="10"/>
        <v>618363.719913606</v>
      </c>
      <c r="K28" s="153">
        <f t="shared" si="10"/>
        <v>602757.9956746233</v>
      </c>
      <c r="L28" s="153">
        <f t="shared" si="10"/>
        <v>506410.6411509033</v>
      </c>
      <c r="M28" s="153">
        <f t="shared" si="10"/>
        <v>365697.5939493282</v>
      </c>
      <c r="N28" s="265">
        <f t="shared" si="10"/>
        <v>529597.0780499545</v>
      </c>
      <c r="O28" s="276">
        <f t="shared" si="10"/>
        <v>521404.50103606546</v>
      </c>
      <c r="P28" s="160">
        <f t="shared" si="10"/>
        <v>618363.719913606</v>
      </c>
      <c r="Q28" s="160">
        <f t="shared" si="10"/>
        <v>602757.9956746233</v>
      </c>
      <c r="R28" s="160">
        <f t="shared" si="10"/>
        <v>506410.6411509033</v>
      </c>
      <c r="S28" s="160">
        <f t="shared" si="10"/>
        <v>365697.5939493282</v>
      </c>
      <c r="T28" s="286">
        <f t="shared" si="10"/>
        <v>529597.0780499545</v>
      </c>
      <c r="U28" s="300">
        <f t="shared" si="10"/>
        <v>521404.50103606546</v>
      </c>
      <c r="V28" s="186">
        <f t="shared" si="10"/>
        <v>618363.719913606</v>
      </c>
      <c r="W28" s="186">
        <f t="shared" si="10"/>
        <v>602757.9956746233</v>
      </c>
      <c r="X28" s="186">
        <f t="shared" si="10"/>
        <v>506410.6411509033</v>
      </c>
      <c r="Y28" s="186">
        <f t="shared" si="10"/>
        <v>365697.5939493282</v>
      </c>
      <c r="Z28" s="301">
        <f t="shared" si="10"/>
        <v>529597.0780499545</v>
      </c>
      <c r="AA28" s="318">
        <f t="shared" si="10"/>
        <v>521404.50103606546</v>
      </c>
      <c r="AB28" s="202">
        <f t="shared" si="10"/>
        <v>618363.719913606</v>
      </c>
      <c r="AC28" s="202">
        <f t="shared" si="10"/>
        <v>602757.9956746233</v>
      </c>
      <c r="AD28" s="202">
        <f t="shared" si="10"/>
        <v>506410.6411509033</v>
      </c>
      <c r="AE28" s="202">
        <f t="shared" si="10"/>
        <v>365697.5939493282</v>
      </c>
      <c r="AF28" s="319">
        <f t="shared" si="10"/>
        <v>529597.0780499545</v>
      </c>
    </row>
    <row r="29" spans="1:32" ht="12.75">
      <c r="A29" s="424"/>
      <c r="B29" s="146" t="s">
        <v>133</v>
      </c>
      <c r="C29" s="252">
        <f>C28/C9</f>
        <v>70096.7957996149</v>
      </c>
      <c r="D29" s="142">
        <f aca="true" t="shared" si="11" ref="D29:AF29">D28/D9</f>
        <v>82857.25846356773</v>
      </c>
      <c r="E29" s="142">
        <f t="shared" si="11"/>
        <v>81321.90983197832</v>
      </c>
      <c r="F29" s="142">
        <f t="shared" si="11"/>
        <v>64758.39400906693</v>
      </c>
      <c r="G29" s="142">
        <f t="shared" si="11"/>
        <v>57826.94401475777</v>
      </c>
      <c r="H29" s="580">
        <f t="shared" si="11"/>
        <v>73042.83539755252</v>
      </c>
      <c r="I29" s="581">
        <f t="shared" si="11"/>
        <v>26659.070603288714</v>
      </c>
      <c r="J29" s="153">
        <f t="shared" si="11"/>
        <v>29942.36434178163</v>
      </c>
      <c r="K29" s="153">
        <f t="shared" si="11"/>
        <v>31627.557753941826</v>
      </c>
      <c r="L29" s="153">
        <f t="shared" si="11"/>
        <v>25547.39290655538</v>
      </c>
      <c r="M29" s="153">
        <f t="shared" si="11"/>
        <v>20666.018329377253</v>
      </c>
      <c r="N29" s="582">
        <f t="shared" si="11"/>
        <v>27574.276954835128</v>
      </c>
      <c r="O29" s="160">
        <f t="shared" si="11"/>
        <v>49355.170050101166</v>
      </c>
      <c r="P29" s="160">
        <f t="shared" si="11"/>
        <v>60206.22815776106</v>
      </c>
      <c r="Q29" s="160">
        <f t="shared" si="11"/>
        <v>55371.94901848708</v>
      </c>
      <c r="R29" s="160">
        <f t="shared" si="11"/>
        <v>49223.046588955694</v>
      </c>
      <c r="S29" s="160">
        <f t="shared" si="11"/>
        <v>36092.615024311424</v>
      </c>
      <c r="T29" s="286">
        <f t="shared" si="11"/>
        <v>52224.079422253584</v>
      </c>
      <c r="U29" s="300">
        <f t="shared" si="11"/>
        <v>158998.71955480298</v>
      </c>
      <c r="V29" s="186">
        <f t="shared" si="11"/>
        <v>137521.12085257555</v>
      </c>
      <c r="W29" s="186">
        <f t="shared" si="11"/>
        <v>187104.76351843035</v>
      </c>
      <c r="X29" s="186">
        <f t="shared" si="11"/>
        <v>154747.33113854952</v>
      </c>
      <c r="Y29" s="186">
        <f t="shared" si="11"/>
        <v>123630.01823844766</v>
      </c>
      <c r="Z29" s="301">
        <f t="shared" si="11"/>
        <v>164394.56093433325</v>
      </c>
      <c r="AA29" s="583">
        <f t="shared" si="11"/>
        <v>158998.71955480298</v>
      </c>
      <c r="AB29" s="202">
        <f t="shared" si="11"/>
        <v>137521.12085257555</v>
      </c>
      <c r="AC29" s="202">
        <f t="shared" si="11"/>
        <v>187104.76351843035</v>
      </c>
      <c r="AD29" s="202">
        <f t="shared" si="11"/>
        <v>154747.33113854952</v>
      </c>
      <c r="AE29" s="202">
        <f t="shared" si="11"/>
        <v>123630.01823844766</v>
      </c>
      <c r="AF29" s="319">
        <f t="shared" si="11"/>
        <v>164394.56093433325</v>
      </c>
    </row>
    <row r="30" spans="1:32" ht="12.75">
      <c r="A30" s="424"/>
      <c r="B30" s="146" t="s">
        <v>40</v>
      </c>
      <c r="C30" s="54">
        <f>C28/C83</f>
        <v>4.305308204252962</v>
      </c>
      <c r="D30" s="140">
        <f aca="true" t="shared" si="12" ref="D30:AF30">D28/D83</f>
        <v>5.0890490867068445</v>
      </c>
      <c r="E30" s="140">
        <f t="shared" si="12"/>
        <v>4.994748784038705</v>
      </c>
      <c r="F30" s="140">
        <f t="shared" si="12"/>
        <v>3.977426383632409</v>
      </c>
      <c r="G30" s="140">
        <f t="shared" si="12"/>
        <v>3.5517003830720193</v>
      </c>
      <c r="H30" s="584">
        <f t="shared" si="12"/>
        <v>4.486252401578522</v>
      </c>
      <c r="I30" s="585">
        <f t="shared" si="12"/>
        <v>1.9994317621811817</v>
      </c>
      <c r="J30" s="151">
        <f t="shared" si="12"/>
        <v>2.2456789732337494</v>
      </c>
      <c r="K30" s="151">
        <f t="shared" si="12"/>
        <v>2.372068571874743</v>
      </c>
      <c r="L30" s="151">
        <f t="shared" si="12"/>
        <v>1.916055873755317</v>
      </c>
      <c r="M30" s="151">
        <f t="shared" si="12"/>
        <v>1.5499525118658117</v>
      </c>
      <c r="N30" s="586">
        <f t="shared" si="12"/>
        <v>2.0680722889070506</v>
      </c>
      <c r="O30" s="158">
        <f t="shared" si="12"/>
        <v>2.6886184202150294</v>
      </c>
      <c r="P30" s="158">
        <f t="shared" si="12"/>
        <v>3.279728828252581</v>
      </c>
      <c r="Q30" s="158">
        <f t="shared" si="12"/>
        <v>3.016381909801702</v>
      </c>
      <c r="R30" s="158">
        <f t="shared" si="12"/>
        <v>2.681421006630644</v>
      </c>
      <c r="S30" s="158">
        <f t="shared" si="12"/>
        <v>1.966141935882045</v>
      </c>
      <c r="T30" s="283">
        <f t="shared" si="12"/>
        <v>2.8449019985324897</v>
      </c>
      <c r="U30" s="174">
        <f t="shared" si="12"/>
        <v>6.112847153991012</v>
      </c>
      <c r="V30" s="184">
        <f t="shared" si="12"/>
        <v>5.287121774132089</v>
      </c>
      <c r="W30" s="184">
        <f t="shared" si="12"/>
        <v>7.193409005898175</v>
      </c>
      <c r="X30" s="184">
        <f t="shared" si="12"/>
        <v>5.9493987460190985</v>
      </c>
      <c r="Y30" s="184">
        <f t="shared" si="12"/>
        <v>4.753065982246917</v>
      </c>
      <c r="Z30" s="296">
        <f t="shared" si="12"/>
        <v>6.320295073776804</v>
      </c>
      <c r="AA30" s="587">
        <f t="shared" si="12"/>
        <v>6.520011127658591</v>
      </c>
      <c r="AB30" s="195">
        <f t="shared" si="12"/>
        <v>5.639285905933504</v>
      </c>
      <c r="AC30" s="195">
        <f t="shared" si="12"/>
        <v>7.672546946251453</v>
      </c>
      <c r="AD30" s="195">
        <f t="shared" si="12"/>
        <v>6.345675762823043</v>
      </c>
      <c r="AE30" s="195">
        <f t="shared" si="12"/>
        <v>5.069657773875852</v>
      </c>
      <c r="AF30" s="313">
        <f t="shared" si="12"/>
        <v>6.74127671983521</v>
      </c>
    </row>
    <row r="31" spans="1:32" ht="12.75">
      <c r="A31" s="424"/>
      <c r="B31" s="146" t="s">
        <v>30</v>
      </c>
      <c r="C31" s="254">
        <f>'Données RW'!C30</f>
        <v>49.17</v>
      </c>
      <c r="D31" s="143">
        <f>'Données RW'!D30</f>
        <v>49.17</v>
      </c>
      <c r="E31" s="143">
        <f>'Données RW'!E30</f>
        <v>49.17</v>
      </c>
      <c r="F31" s="143">
        <f>'Données RW'!F30</f>
        <v>49.17</v>
      </c>
      <c r="G31" s="143">
        <f>'Données RW'!G30</f>
        <v>49.17</v>
      </c>
      <c r="H31" s="255">
        <f>'Données RW'!H30</f>
        <v>49.17</v>
      </c>
      <c r="I31" s="83">
        <f>'Données RW'!I30</f>
        <v>49.17</v>
      </c>
      <c r="J31" s="84">
        <f>'Données RW'!J30</f>
        <v>49.17</v>
      </c>
      <c r="K31" s="84">
        <f>'Données RW'!K30</f>
        <v>49.17</v>
      </c>
      <c r="L31" s="84">
        <f>'Données RW'!L30</f>
        <v>49.17</v>
      </c>
      <c r="M31" s="84">
        <f>'Données RW'!M30</f>
        <v>49.17</v>
      </c>
      <c r="N31" s="266">
        <f>'Données RW'!N30</f>
        <v>49.17</v>
      </c>
      <c r="O31" s="277">
        <f>'Données RW'!O30</f>
        <v>49.17</v>
      </c>
      <c r="P31" s="161">
        <f>'Données RW'!P30</f>
        <v>49.17</v>
      </c>
      <c r="Q31" s="161">
        <f>'Données RW'!Q30</f>
        <v>49.17</v>
      </c>
      <c r="R31" s="161">
        <f>'Données RW'!R30</f>
        <v>49.17</v>
      </c>
      <c r="S31" s="161">
        <f>'Données RW'!S30</f>
        <v>49.17</v>
      </c>
      <c r="T31" s="287">
        <f>'Données RW'!T30</f>
        <v>49.17</v>
      </c>
      <c r="U31" s="302">
        <f>'Données RW'!U30</f>
        <v>49.17</v>
      </c>
      <c r="V31" s="187">
        <f>'Données RW'!V30</f>
        <v>49.17</v>
      </c>
      <c r="W31" s="187">
        <f>'Données RW'!W30</f>
        <v>49.17</v>
      </c>
      <c r="X31" s="187">
        <f>'Données RW'!X30</f>
        <v>49.17</v>
      </c>
      <c r="Y31" s="187">
        <f>'Données RW'!Y30</f>
        <v>49.17</v>
      </c>
      <c r="Z31" s="303">
        <f>'Données RW'!Z30</f>
        <v>49.17</v>
      </c>
      <c r="AA31" s="320">
        <f>'Données RW'!AA30</f>
        <v>49.17</v>
      </c>
      <c r="AB31" s="203">
        <f>'Données RW'!AB30</f>
        <v>49.17</v>
      </c>
      <c r="AC31" s="203">
        <f>'Données RW'!AC30</f>
        <v>49.17</v>
      </c>
      <c r="AD31" s="203">
        <f>'Données RW'!AD30</f>
        <v>49.17</v>
      </c>
      <c r="AE31" s="203">
        <f>'Données RW'!AE30</f>
        <v>49.17</v>
      </c>
      <c r="AF31" s="321">
        <f>'Données RW'!AF30</f>
        <v>49.17</v>
      </c>
    </row>
    <row r="32" spans="1:32" ht="12.75">
      <c r="A32" s="424"/>
      <c r="B32" s="146" t="s">
        <v>8</v>
      </c>
      <c r="C32" s="252">
        <f aca="true" t="shared" si="13" ref="C32:AF32">C26*C31</f>
        <v>4865.716324908586</v>
      </c>
      <c r="D32" s="142">
        <f t="shared" si="13"/>
        <v>5770.53408771152</v>
      </c>
      <c r="E32" s="142">
        <f t="shared" si="13"/>
        <v>5624.902381347738</v>
      </c>
      <c r="F32" s="142">
        <f t="shared" si="13"/>
        <v>4725.794500928054</v>
      </c>
      <c r="G32" s="142">
        <f t="shared" si="13"/>
        <v>3412.6685698402857</v>
      </c>
      <c r="H32" s="253">
        <f t="shared" si="13"/>
        <v>4942.168974704168</v>
      </c>
      <c r="I32" s="242">
        <f t="shared" si="13"/>
        <v>4865.716324908586</v>
      </c>
      <c r="J32" s="153">
        <f t="shared" si="13"/>
        <v>5770.53408771152</v>
      </c>
      <c r="K32" s="153">
        <f t="shared" si="13"/>
        <v>5624.902381347738</v>
      </c>
      <c r="L32" s="153">
        <f t="shared" si="13"/>
        <v>4725.794500928054</v>
      </c>
      <c r="M32" s="153">
        <f t="shared" si="13"/>
        <v>3412.6685698402857</v>
      </c>
      <c r="N32" s="265">
        <f t="shared" si="13"/>
        <v>4942.168974704168</v>
      </c>
      <c r="O32" s="276">
        <f t="shared" si="13"/>
        <v>4865.716324908586</v>
      </c>
      <c r="P32" s="160">
        <f t="shared" si="13"/>
        <v>5770.53408771152</v>
      </c>
      <c r="Q32" s="160">
        <f t="shared" si="13"/>
        <v>5624.902381347738</v>
      </c>
      <c r="R32" s="160">
        <f t="shared" si="13"/>
        <v>4725.794500928054</v>
      </c>
      <c r="S32" s="160">
        <f t="shared" si="13"/>
        <v>3412.6685698402857</v>
      </c>
      <c r="T32" s="286">
        <f t="shared" si="13"/>
        <v>4942.168974704168</v>
      </c>
      <c r="U32" s="300">
        <f t="shared" si="13"/>
        <v>4865.716324908586</v>
      </c>
      <c r="V32" s="186">
        <f t="shared" si="13"/>
        <v>5770.53408771152</v>
      </c>
      <c r="W32" s="186">
        <f t="shared" si="13"/>
        <v>5624.902381347738</v>
      </c>
      <c r="X32" s="186">
        <f t="shared" si="13"/>
        <v>4725.794500928054</v>
      </c>
      <c r="Y32" s="186">
        <f t="shared" si="13"/>
        <v>3412.6685698402857</v>
      </c>
      <c r="Z32" s="301">
        <f t="shared" si="13"/>
        <v>4942.168974704168</v>
      </c>
      <c r="AA32" s="318">
        <f t="shared" si="13"/>
        <v>4865.716324908586</v>
      </c>
      <c r="AB32" s="202">
        <f t="shared" si="13"/>
        <v>5770.53408771152</v>
      </c>
      <c r="AC32" s="202">
        <f t="shared" si="13"/>
        <v>5624.902381347738</v>
      </c>
      <c r="AD32" s="202">
        <f t="shared" si="13"/>
        <v>4725.794500928054</v>
      </c>
      <c r="AE32" s="202">
        <f t="shared" si="13"/>
        <v>3412.6685698402857</v>
      </c>
      <c r="AF32" s="319">
        <f t="shared" si="13"/>
        <v>4942.168974704168</v>
      </c>
    </row>
    <row r="33" spans="1:32" ht="13.5" thickBot="1">
      <c r="A33" s="425"/>
      <c r="B33" s="238" t="s">
        <v>100</v>
      </c>
      <c r="C33" s="350">
        <f aca="true" t="shared" si="14" ref="C33:AF33">C32/C10</f>
        <v>0.038478776522691716</v>
      </c>
      <c r="D33" s="351">
        <f t="shared" si="14"/>
        <v>0.04548347603243863</v>
      </c>
      <c r="E33" s="351">
        <f t="shared" si="14"/>
        <v>0.04464066522767323</v>
      </c>
      <c r="F33" s="351">
        <f t="shared" si="14"/>
        <v>0.03554832631960323</v>
      </c>
      <c r="G33" s="351">
        <f t="shared" si="14"/>
        <v>0.0317433918391216</v>
      </c>
      <c r="H33" s="352">
        <f t="shared" si="14"/>
        <v>0.040095968835448824</v>
      </c>
      <c r="I33" s="353">
        <f t="shared" si="14"/>
        <v>0.014634169912403358</v>
      </c>
      <c r="J33" s="354">
        <f t="shared" si="14"/>
        <v>0.016436493750185913</v>
      </c>
      <c r="K33" s="354">
        <f t="shared" si="14"/>
        <v>0.01736156000983912</v>
      </c>
      <c r="L33" s="354">
        <f t="shared" si="14"/>
        <v>0.014023928072246413</v>
      </c>
      <c r="M33" s="354">
        <f t="shared" si="14"/>
        <v>0.011344357353839655</v>
      </c>
      <c r="N33" s="355">
        <f t="shared" si="14"/>
        <v>0.01513656121676446</v>
      </c>
      <c r="O33" s="356">
        <f t="shared" si="14"/>
        <v>0.021522409432028586</v>
      </c>
      <c r="P33" s="357">
        <f t="shared" si="14"/>
        <v>0.026254252420852626</v>
      </c>
      <c r="Q33" s="357">
        <f t="shared" si="14"/>
        <v>0.02414615847976092</v>
      </c>
      <c r="R33" s="357">
        <f t="shared" si="14"/>
        <v>0.02146479408548104</v>
      </c>
      <c r="S33" s="357">
        <f t="shared" si="14"/>
        <v>0.015738980075183116</v>
      </c>
      <c r="T33" s="358">
        <f t="shared" si="14"/>
        <v>0.022773460579622026</v>
      </c>
      <c r="U33" s="359">
        <f t="shared" si="14"/>
        <v>0.055991198362151454</v>
      </c>
      <c r="V33" s="360">
        <f t="shared" si="14"/>
        <v>0.048427889093710375</v>
      </c>
      <c r="W33" s="360">
        <f t="shared" si="14"/>
        <v>0.06588870626126629</v>
      </c>
      <c r="X33" s="360">
        <f t="shared" si="14"/>
        <v>0.054494077298563544</v>
      </c>
      <c r="Y33" s="360">
        <f t="shared" si="14"/>
        <v>0.043536154845067246</v>
      </c>
      <c r="Z33" s="361">
        <f t="shared" si="14"/>
        <v>0.05789133709193442</v>
      </c>
      <c r="AA33" s="362">
        <f t="shared" si="14"/>
        <v>0.055991198362151454</v>
      </c>
      <c r="AB33" s="363">
        <f t="shared" si="14"/>
        <v>0.048427889093710375</v>
      </c>
      <c r="AC33" s="363">
        <f t="shared" si="14"/>
        <v>0.06588870626126629</v>
      </c>
      <c r="AD33" s="363">
        <f t="shared" si="14"/>
        <v>0.054494077298563544</v>
      </c>
      <c r="AE33" s="363">
        <f t="shared" si="14"/>
        <v>0.043536154845067246</v>
      </c>
      <c r="AF33" s="364">
        <f t="shared" si="14"/>
        <v>0.05789133709193442</v>
      </c>
    </row>
    <row r="34" spans="1:32" ht="13.5" thickBot="1">
      <c r="A34" s="424"/>
      <c r="B34" s="146"/>
      <c r="C34" s="45"/>
      <c r="D34" s="46"/>
      <c r="E34" s="46"/>
      <c r="F34" s="46"/>
      <c r="G34" s="46"/>
      <c r="H34" s="47"/>
      <c r="I34" s="77"/>
      <c r="J34" s="78"/>
      <c r="K34" s="78"/>
      <c r="L34" s="78"/>
      <c r="M34" s="78"/>
      <c r="N34" s="365"/>
      <c r="O34" s="366"/>
      <c r="P34" s="101"/>
      <c r="Q34" s="101"/>
      <c r="R34" s="101"/>
      <c r="S34" s="101"/>
      <c r="T34" s="124"/>
      <c r="U34" s="169"/>
      <c r="V34" s="178"/>
      <c r="W34" s="178"/>
      <c r="X34" s="178"/>
      <c r="Y34" s="178"/>
      <c r="Z34" s="367"/>
      <c r="AA34" s="332"/>
      <c r="AB34" s="333"/>
      <c r="AC34" s="333"/>
      <c r="AD34" s="333"/>
      <c r="AE34" s="333"/>
      <c r="AF34" s="334"/>
    </row>
    <row r="35" spans="1:32" ht="12.75">
      <c r="A35" s="423" t="s">
        <v>14</v>
      </c>
      <c r="B35" s="237" t="s">
        <v>32</v>
      </c>
      <c r="C35" s="59">
        <f>'Données RW'!C33</f>
        <v>43.585489259428236</v>
      </c>
      <c r="D35" s="380">
        <f>'Données RW'!D33</f>
        <v>56.11939503828779</v>
      </c>
      <c r="E35" s="380">
        <f>'Données RW'!E33</f>
        <v>54.19818055816258</v>
      </c>
      <c r="F35" s="380">
        <f>'Données RW'!F33</f>
        <v>34.824881723232984</v>
      </c>
      <c r="G35" s="380">
        <f>'Données RW'!G33</f>
        <v>29.76756422185241</v>
      </c>
      <c r="H35" s="381">
        <f>'Données RW'!H33</f>
        <v>45.470859783898334</v>
      </c>
      <c r="I35" s="368">
        <f>'Données RW'!I33</f>
        <v>43.585489259428236</v>
      </c>
      <c r="J35" s="369">
        <f>'Données RW'!J33</f>
        <v>56.11939503828779</v>
      </c>
      <c r="K35" s="369">
        <f>'Données RW'!K33</f>
        <v>54.19818055816258</v>
      </c>
      <c r="L35" s="369">
        <f>'Données RW'!L33</f>
        <v>34.824881723232984</v>
      </c>
      <c r="M35" s="369">
        <f>'Données RW'!M33</f>
        <v>29.76756422185241</v>
      </c>
      <c r="N35" s="370">
        <f>'Données RW'!N33</f>
        <v>45.470859783898334</v>
      </c>
      <c r="O35" s="371">
        <f>'Données RW'!O33</f>
        <v>43.585489259428236</v>
      </c>
      <c r="P35" s="372">
        <f>'Données RW'!P33</f>
        <v>56.11939503828779</v>
      </c>
      <c r="Q35" s="372">
        <f>'Données RW'!Q33</f>
        <v>54.19818055816258</v>
      </c>
      <c r="R35" s="372">
        <f>'Données RW'!R33</f>
        <v>34.824881723232984</v>
      </c>
      <c r="S35" s="372">
        <f>'Données RW'!S33</f>
        <v>29.76756422185241</v>
      </c>
      <c r="T35" s="373">
        <f>'Données RW'!T33</f>
        <v>45.470859783898334</v>
      </c>
      <c r="U35" s="374">
        <f>'Données RW'!U33</f>
        <v>43.585489259428236</v>
      </c>
      <c r="V35" s="375">
        <f>'Données RW'!V33</f>
        <v>56.11939503828779</v>
      </c>
      <c r="W35" s="375">
        <f>'Données RW'!W33</f>
        <v>54.19818055816258</v>
      </c>
      <c r="X35" s="375">
        <f>'Données RW'!X33</f>
        <v>34.824881723232984</v>
      </c>
      <c r="Y35" s="375">
        <f>'Données RW'!Y33</f>
        <v>29.76756422185241</v>
      </c>
      <c r="Z35" s="376">
        <f>'Données RW'!Z33</f>
        <v>45.470859783898334</v>
      </c>
      <c r="AA35" s="377">
        <f>'Données RW'!AA33</f>
        <v>43.585489259428236</v>
      </c>
      <c r="AB35" s="378">
        <f>'Données RW'!AB33</f>
        <v>56.11939503828779</v>
      </c>
      <c r="AC35" s="378">
        <f>'Données RW'!AC33</f>
        <v>54.19818055816258</v>
      </c>
      <c r="AD35" s="378">
        <f>'Données RW'!AD33</f>
        <v>34.824881723232984</v>
      </c>
      <c r="AE35" s="378">
        <f>'Données RW'!AE33</f>
        <v>29.76756422185241</v>
      </c>
      <c r="AF35" s="379">
        <f>'Données RW'!AF33</f>
        <v>45.470859783898334</v>
      </c>
    </row>
    <row r="36" spans="1:32" ht="12.75">
      <c r="A36" s="424"/>
      <c r="B36" s="146" t="s">
        <v>28</v>
      </c>
      <c r="C36" s="248">
        <f>'Données RW'!C34</f>
        <v>583.2</v>
      </c>
      <c r="D36" s="41">
        <f>'Données RW'!D34</f>
        <v>583.2</v>
      </c>
      <c r="E36" s="41">
        <f>'Données RW'!E34</f>
        <v>583.2</v>
      </c>
      <c r="F36" s="41">
        <f>'Données RW'!F34</f>
        <v>583.2</v>
      </c>
      <c r="G36" s="41">
        <f>'Données RW'!G34</f>
        <v>583.2</v>
      </c>
      <c r="H36" s="249">
        <f>'Données RW'!H34</f>
        <v>583.2</v>
      </c>
      <c r="I36" s="73">
        <f>'Données RW'!I34</f>
        <v>583.2</v>
      </c>
      <c r="J36" s="74">
        <f>'Données RW'!J34</f>
        <v>583.2</v>
      </c>
      <c r="K36" s="74">
        <f>'Données RW'!K34</f>
        <v>583.2</v>
      </c>
      <c r="L36" s="74">
        <f>'Données RW'!L34</f>
        <v>583.2</v>
      </c>
      <c r="M36" s="74">
        <f>'Données RW'!M34</f>
        <v>583.2</v>
      </c>
      <c r="N36" s="263">
        <f>'Données RW'!N34</f>
        <v>583.2</v>
      </c>
      <c r="O36" s="274">
        <f>'Données RW'!O34</f>
        <v>583.2</v>
      </c>
      <c r="P36" s="95">
        <f>'Données RW'!P34</f>
        <v>583.2</v>
      </c>
      <c r="Q36" s="95">
        <f>'Données RW'!Q34</f>
        <v>583.2</v>
      </c>
      <c r="R36" s="95">
        <f>'Données RW'!R34</f>
        <v>583.2</v>
      </c>
      <c r="S36" s="95">
        <f>'Données RW'!S34</f>
        <v>583.2</v>
      </c>
      <c r="T36" s="284">
        <f>'Données RW'!T34</f>
        <v>583.2</v>
      </c>
      <c r="U36" s="177">
        <f>'Données RW'!U34</f>
        <v>583.2</v>
      </c>
      <c r="V36" s="172">
        <f>'Données RW'!V34</f>
        <v>583.2</v>
      </c>
      <c r="W36" s="172">
        <f>'Données RW'!W34</f>
        <v>583.2</v>
      </c>
      <c r="X36" s="172">
        <f>'Données RW'!X34</f>
        <v>583.2</v>
      </c>
      <c r="Y36" s="172">
        <f>'Données RW'!Y34</f>
        <v>583.2</v>
      </c>
      <c r="Z36" s="297">
        <f>'Données RW'!Z34</f>
        <v>583.2</v>
      </c>
      <c r="AA36" s="314">
        <f>'Données RW'!AA34</f>
        <v>583.2</v>
      </c>
      <c r="AB36" s="193">
        <f>'Données RW'!AB34</f>
        <v>583.2</v>
      </c>
      <c r="AC36" s="193">
        <f>'Données RW'!AC34</f>
        <v>583.2</v>
      </c>
      <c r="AD36" s="193">
        <f>'Données RW'!AD34</f>
        <v>583.2</v>
      </c>
      <c r="AE36" s="193">
        <f>'Données RW'!AE34</f>
        <v>583.2</v>
      </c>
      <c r="AF36" s="315">
        <f>'Données RW'!AF34</f>
        <v>583.2</v>
      </c>
    </row>
    <row r="37" spans="1:32" ht="12.75">
      <c r="A37" s="424"/>
      <c r="B37" s="146" t="s">
        <v>7</v>
      </c>
      <c r="C37" s="252">
        <f aca="true" t="shared" si="15" ref="C37:AF37">C35*C36</f>
        <v>25419.05733609855</v>
      </c>
      <c r="D37" s="142">
        <f t="shared" si="15"/>
        <v>32728.831186329444</v>
      </c>
      <c r="E37" s="142">
        <f t="shared" si="15"/>
        <v>31608.37890152042</v>
      </c>
      <c r="F37" s="142">
        <f t="shared" si="15"/>
        <v>20309.871020989478</v>
      </c>
      <c r="G37" s="142">
        <f t="shared" si="15"/>
        <v>17360.443454184326</v>
      </c>
      <c r="H37" s="253">
        <f t="shared" si="15"/>
        <v>26518.605425969512</v>
      </c>
      <c r="I37" s="242">
        <f t="shared" si="15"/>
        <v>25419.05733609855</v>
      </c>
      <c r="J37" s="153">
        <f t="shared" si="15"/>
        <v>32728.831186329444</v>
      </c>
      <c r="K37" s="153">
        <f t="shared" si="15"/>
        <v>31608.37890152042</v>
      </c>
      <c r="L37" s="153">
        <f t="shared" si="15"/>
        <v>20309.871020989478</v>
      </c>
      <c r="M37" s="153">
        <f t="shared" si="15"/>
        <v>17360.443454184326</v>
      </c>
      <c r="N37" s="265">
        <f t="shared" si="15"/>
        <v>26518.605425969512</v>
      </c>
      <c r="O37" s="276">
        <f t="shared" si="15"/>
        <v>25419.05733609855</v>
      </c>
      <c r="P37" s="160">
        <f t="shared" si="15"/>
        <v>32728.831186329444</v>
      </c>
      <c r="Q37" s="160">
        <f t="shared" si="15"/>
        <v>31608.37890152042</v>
      </c>
      <c r="R37" s="160">
        <f t="shared" si="15"/>
        <v>20309.871020989478</v>
      </c>
      <c r="S37" s="160">
        <f t="shared" si="15"/>
        <v>17360.443454184326</v>
      </c>
      <c r="T37" s="286">
        <f t="shared" si="15"/>
        <v>26518.605425969512</v>
      </c>
      <c r="U37" s="300">
        <f t="shared" si="15"/>
        <v>25419.05733609855</v>
      </c>
      <c r="V37" s="186">
        <f t="shared" si="15"/>
        <v>32728.831186329444</v>
      </c>
      <c r="W37" s="186">
        <f t="shared" si="15"/>
        <v>31608.37890152042</v>
      </c>
      <c r="X37" s="186">
        <f t="shared" si="15"/>
        <v>20309.871020989478</v>
      </c>
      <c r="Y37" s="186">
        <f t="shared" si="15"/>
        <v>17360.443454184326</v>
      </c>
      <c r="Z37" s="301">
        <f t="shared" si="15"/>
        <v>26518.605425969512</v>
      </c>
      <c r="AA37" s="318">
        <f t="shared" si="15"/>
        <v>25419.05733609855</v>
      </c>
      <c r="AB37" s="202">
        <f t="shared" si="15"/>
        <v>32728.831186329444</v>
      </c>
      <c r="AC37" s="202">
        <f t="shared" si="15"/>
        <v>31608.37890152042</v>
      </c>
      <c r="AD37" s="202">
        <f t="shared" si="15"/>
        <v>20309.871020989478</v>
      </c>
      <c r="AE37" s="202">
        <f t="shared" si="15"/>
        <v>17360.443454184326</v>
      </c>
      <c r="AF37" s="319">
        <f t="shared" si="15"/>
        <v>26518.605425969512</v>
      </c>
    </row>
    <row r="38" spans="1:32" ht="12.75">
      <c r="A38" s="424"/>
      <c r="B38" s="146" t="s">
        <v>133</v>
      </c>
      <c r="C38" s="252">
        <f aca="true" t="shared" si="16" ref="C38:AF38">C37/C9</f>
        <v>3417.297833000404</v>
      </c>
      <c r="D38" s="142">
        <f t="shared" si="16"/>
        <v>4385.479188842214</v>
      </c>
      <c r="E38" s="142">
        <f t="shared" si="16"/>
        <v>4264.487169660068</v>
      </c>
      <c r="F38" s="142">
        <f t="shared" si="16"/>
        <v>2597.1702072876574</v>
      </c>
      <c r="G38" s="142">
        <f t="shared" si="16"/>
        <v>2745.168161635725</v>
      </c>
      <c r="H38" s="580">
        <f t="shared" si="16"/>
        <v>3657.486439000002</v>
      </c>
      <c r="I38" s="581">
        <f t="shared" si="16"/>
        <v>1299.6597513937118</v>
      </c>
      <c r="J38" s="153">
        <f t="shared" si="16"/>
        <v>1584.7931505403617</v>
      </c>
      <c r="K38" s="153">
        <f t="shared" si="16"/>
        <v>1658.535990215155</v>
      </c>
      <c r="L38" s="153">
        <f t="shared" si="16"/>
        <v>1024.5919273644704</v>
      </c>
      <c r="M38" s="153">
        <f t="shared" si="16"/>
        <v>981.0598936562944</v>
      </c>
      <c r="N38" s="582">
        <f t="shared" si="16"/>
        <v>1380.7315047208458</v>
      </c>
      <c r="O38" s="160">
        <f t="shared" si="16"/>
        <v>2406.1201904538943</v>
      </c>
      <c r="P38" s="160">
        <f t="shared" si="16"/>
        <v>3186.602664878689</v>
      </c>
      <c r="Q38" s="160">
        <f t="shared" si="16"/>
        <v>2903.6820044719934</v>
      </c>
      <c r="R38" s="160">
        <f t="shared" si="16"/>
        <v>1974.1167468555334</v>
      </c>
      <c r="S38" s="160">
        <f t="shared" si="16"/>
        <v>1713.3932861751966</v>
      </c>
      <c r="T38" s="286">
        <f t="shared" si="16"/>
        <v>2615.025296273641</v>
      </c>
      <c r="U38" s="300">
        <f t="shared" si="16"/>
        <v>7751.366857591117</v>
      </c>
      <c r="V38" s="186">
        <f t="shared" si="16"/>
        <v>7278.734835167228</v>
      </c>
      <c r="W38" s="186">
        <f t="shared" si="16"/>
        <v>9811.69607372976</v>
      </c>
      <c r="X38" s="186">
        <f t="shared" si="16"/>
        <v>6206.224910921154</v>
      </c>
      <c r="Y38" s="186">
        <f t="shared" si="16"/>
        <v>5868.980207634999</v>
      </c>
      <c r="Z38" s="301">
        <f t="shared" si="16"/>
        <v>8231.757077749344</v>
      </c>
      <c r="AA38" s="583">
        <f t="shared" si="16"/>
        <v>7751.366857591117</v>
      </c>
      <c r="AB38" s="202">
        <f t="shared" si="16"/>
        <v>7278.734835167228</v>
      </c>
      <c r="AC38" s="202">
        <f t="shared" si="16"/>
        <v>9811.69607372976</v>
      </c>
      <c r="AD38" s="202">
        <f t="shared" si="16"/>
        <v>6206.224910921154</v>
      </c>
      <c r="AE38" s="202">
        <f t="shared" si="16"/>
        <v>5868.980207634999</v>
      </c>
      <c r="AF38" s="319">
        <f t="shared" si="16"/>
        <v>8231.757077749344</v>
      </c>
    </row>
    <row r="39" spans="1:32" ht="12.75">
      <c r="A39" s="424"/>
      <c r="B39" s="146" t="s">
        <v>40</v>
      </c>
      <c r="C39" s="54">
        <f aca="true" t="shared" si="17" ref="C39:AF39">C37/C83</f>
        <v>0.2098886294154024</v>
      </c>
      <c r="D39" s="140">
        <f t="shared" si="17"/>
        <v>0.2693538173310732</v>
      </c>
      <c r="E39" s="140">
        <f t="shared" si="17"/>
        <v>0.26192255136674664</v>
      </c>
      <c r="F39" s="140">
        <f t="shared" si="17"/>
        <v>0.15951682346853216</v>
      </c>
      <c r="G39" s="140">
        <f t="shared" si="17"/>
        <v>0.16860677971829974</v>
      </c>
      <c r="H39" s="584">
        <f t="shared" si="17"/>
        <v>0.22464088683575992</v>
      </c>
      <c r="I39" s="585">
        <f t="shared" si="17"/>
        <v>0.09747455286924069</v>
      </c>
      <c r="J39" s="151">
        <f t="shared" si="17"/>
        <v>0.11885957349490973</v>
      </c>
      <c r="K39" s="151">
        <f t="shared" si="17"/>
        <v>0.12439029052827198</v>
      </c>
      <c r="L39" s="151">
        <f t="shared" si="17"/>
        <v>0.07684445093124279</v>
      </c>
      <c r="M39" s="151">
        <f t="shared" si="17"/>
        <v>0.07357954600774813</v>
      </c>
      <c r="N39" s="586">
        <f t="shared" si="17"/>
        <v>0.10355493882980726</v>
      </c>
      <c r="O39" s="158">
        <f t="shared" si="17"/>
        <v>0.1310731795420564</v>
      </c>
      <c r="P39" s="158">
        <f t="shared" si="17"/>
        <v>0.17358989167704394</v>
      </c>
      <c r="Q39" s="158">
        <f t="shared" si="17"/>
        <v>0.15817781431500305</v>
      </c>
      <c r="R39" s="158">
        <f t="shared" si="17"/>
        <v>0.1075398310625389</v>
      </c>
      <c r="S39" s="158">
        <f t="shared" si="17"/>
        <v>0.09333694414601564</v>
      </c>
      <c r="T39" s="283">
        <f t="shared" si="17"/>
        <v>0.1424532662688124</v>
      </c>
      <c r="U39" s="174">
        <f t="shared" si="17"/>
        <v>0.29800819130895184</v>
      </c>
      <c r="V39" s="184">
        <f t="shared" si="17"/>
        <v>0.2798374329453094</v>
      </c>
      <c r="W39" s="184">
        <f t="shared" si="17"/>
        <v>0.3772193800557683</v>
      </c>
      <c r="X39" s="184">
        <f t="shared" si="17"/>
        <v>0.23860383523828504</v>
      </c>
      <c r="Y39" s="184">
        <f t="shared" si="17"/>
        <v>0.22563816274448384</v>
      </c>
      <c r="Z39" s="296">
        <f t="shared" si="17"/>
        <v>0.31647722048303384</v>
      </c>
      <c r="AA39" s="587">
        <f t="shared" si="17"/>
        <v>0.31785789412372295</v>
      </c>
      <c r="AB39" s="195">
        <f t="shared" si="17"/>
        <v>0.298476819520607</v>
      </c>
      <c r="AC39" s="195">
        <f t="shared" si="17"/>
        <v>0.40234517460923586</v>
      </c>
      <c r="AD39" s="195">
        <f t="shared" si="17"/>
        <v>0.2544967380445519</v>
      </c>
      <c r="AE39" s="195">
        <f t="shared" si="17"/>
        <v>0.24066744920294106</v>
      </c>
      <c r="AF39" s="313">
        <f t="shared" si="17"/>
        <v>0.33755710673260453</v>
      </c>
    </row>
    <row r="40" spans="1:32" ht="12.75">
      <c r="A40" s="424"/>
      <c r="B40" s="146" t="s">
        <v>29</v>
      </c>
      <c r="C40" s="54">
        <f>'Données RW'!C35</f>
        <v>9.73</v>
      </c>
      <c r="D40" s="140">
        <f>'Données RW'!D35</f>
        <v>9.73</v>
      </c>
      <c r="E40" s="140">
        <f>'Données RW'!E35</f>
        <v>9.73</v>
      </c>
      <c r="F40" s="140">
        <f>'Données RW'!F35</f>
        <v>9.73</v>
      </c>
      <c r="G40" s="140">
        <f>'Données RW'!G35</f>
        <v>9.73</v>
      </c>
      <c r="H40" s="247">
        <f>'Données RW'!H35</f>
        <v>9.73</v>
      </c>
      <c r="I40" s="81">
        <f>'Données RW'!I35</f>
        <v>9.73</v>
      </c>
      <c r="J40" s="151">
        <f>'Données RW'!J35</f>
        <v>9.73</v>
      </c>
      <c r="K40" s="151">
        <f>'Données RW'!K35</f>
        <v>9.73</v>
      </c>
      <c r="L40" s="151">
        <f>'Données RW'!L35</f>
        <v>9.73</v>
      </c>
      <c r="M40" s="151">
        <f>'Données RW'!M35</f>
        <v>9.73</v>
      </c>
      <c r="N40" s="262">
        <f>'Données RW'!N35</f>
        <v>9.73</v>
      </c>
      <c r="O40" s="273">
        <f>'Données RW'!O35</f>
        <v>9.73</v>
      </c>
      <c r="P40" s="158">
        <f>'Données RW'!P35</f>
        <v>9.73</v>
      </c>
      <c r="Q40" s="158">
        <f>'Données RW'!Q35</f>
        <v>9.73</v>
      </c>
      <c r="R40" s="158">
        <f>'Données RW'!R35</f>
        <v>9.73</v>
      </c>
      <c r="S40" s="158">
        <f>'Données RW'!S35</f>
        <v>9.73</v>
      </c>
      <c r="T40" s="283">
        <f>'Données RW'!T35</f>
        <v>9.73</v>
      </c>
      <c r="U40" s="174">
        <f>'Données RW'!U35</f>
        <v>9.73</v>
      </c>
      <c r="V40" s="184">
        <f>'Données RW'!V35</f>
        <v>9.73</v>
      </c>
      <c r="W40" s="184">
        <f>'Données RW'!W35</f>
        <v>9.73</v>
      </c>
      <c r="X40" s="184">
        <f>'Données RW'!X35</f>
        <v>9.73</v>
      </c>
      <c r="Y40" s="184">
        <f>'Données RW'!Y35</f>
        <v>9.73</v>
      </c>
      <c r="Z40" s="296">
        <f>'Données RW'!Z35</f>
        <v>9.73</v>
      </c>
      <c r="AA40" s="312">
        <f>'Données RW'!AA35</f>
        <v>9.73</v>
      </c>
      <c r="AB40" s="195">
        <f>'Données RW'!AB35</f>
        <v>9.73</v>
      </c>
      <c r="AC40" s="195">
        <f>'Données RW'!AC35</f>
        <v>9.73</v>
      </c>
      <c r="AD40" s="195">
        <f>'Données RW'!AD35</f>
        <v>9.73</v>
      </c>
      <c r="AE40" s="195">
        <f>'Données RW'!AE35</f>
        <v>9.73</v>
      </c>
      <c r="AF40" s="313">
        <f>'Données RW'!AF35</f>
        <v>9.73</v>
      </c>
    </row>
    <row r="41" spans="1:32" ht="12.75">
      <c r="A41" s="424"/>
      <c r="B41" s="146" t="s">
        <v>8</v>
      </c>
      <c r="C41" s="54">
        <f aca="true" t="shared" si="18" ref="C41:AF41">C40*C35</f>
        <v>424.0868104942368</v>
      </c>
      <c r="D41" s="140">
        <f t="shared" si="18"/>
        <v>546.0417137225402</v>
      </c>
      <c r="E41" s="140">
        <f t="shared" si="18"/>
        <v>527.348296830922</v>
      </c>
      <c r="F41" s="140">
        <f t="shared" si="18"/>
        <v>338.84609916705693</v>
      </c>
      <c r="G41" s="140">
        <f t="shared" si="18"/>
        <v>289.63839987862394</v>
      </c>
      <c r="H41" s="247">
        <f t="shared" si="18"/>
        <v>442.4314656973308</v>
      </c>
      <c r="I41" s="81">
        <f t="shared" si="18"/>
        <v>424.0868104942368</v>
      </c>
      <c r="J41" s="151">
        <f t="shared" si="18"/>
        <v>546.0417137225402</v>
      </c>
      <c r="K41" s="151">
        <f t="shared" si="18"/>
        <v>527.348296830922</v>
      </c>
      <c r="L41" s="151">
        <f t="shared" si="18"/>
        <v>338.84609916705693</v>
      </c>
      <c r="M41" s="151">
        <f t="shared" si="18"/>
        <v>289.63839987862394</v>
      </c>
      <c r="N41" s="262">
        <f t="shared" si="18"/>
        <v>442.4314656973308</v>
      </c>
      <c r="O41" s="273">
        <f t="shared" si="18"/>
        <v>424.0868104942368</v>
      </c>
      <c r="P41" s="158">
        <f t="shared" si="18"/>
        <v>546.0417137225402</v>
      </c>
      <c r="Q41" s="158">
        <f t="shared" si="18"/>
        <v>527.348296830922</v>
      </c>
      <c r="R41" s="158">
        <f t="shared" si="18"/>
        <v>338.84609916705693</v>
      </c>
      <c r="S41" s="158">
        <f t="shared" si="18"/>
        <v>289.63839987862394</v>
      </c>
      <c r="T41" s="283">
        <f t="shared" si="18"/>
        <v>442.4314656973308</v>
      </c>
      <c r="U41" s="174">
        <f t="shared" si="18"/>
        <v>424.0868104942368</v>
      </c>
      <c r="V41" s="184">
        <f t="shared" si="18"/>
        <v>546.0417137225402</v>
      </c>
      <c r="W41" s="184">
        <f t="shared" si="18"/>
        <v>527.348296830922</v>
      </c>
      <c r="X41" s="184">
        <f t="shared" si="18"/>
        <v>338.84609916705693</v>
      </c>
      <c r="Y41" s="184">
        <f t="shared" si="18"/>
        <v>289.63839987862394</v>
      </c>
      <c r="Z41" s="296">
        <f t="shared" si="18"/>
        <v>442.4314656973308</v>
      </c>
      <c r="AA41" s="312">
        <f t="shared" si="18"/>
        <v>424.0868104942368</v>
      </c>
      <c r="AB41" s="195">
        <f t="shared" si="18"/>
        <v>546.0417137225402</v>
      </c>
      <c r="AC41" s="195">
        <f t="shared" si="18"/>
        <v>527.348296830922</v>
      </c>
      <c r="AD41" s="195">
        <f t="shared" si="18"/>
        <v>338.84609916705693</v>
      </c>
      <c r="AE41" s="195">
        <f t="shared" si="18"/>
        <v>289.63839987862394</v>
      </c>
      <c r="AF41" s="313">
        <f t="shared" si="18"/>
        <v>442.4314656973308</v>
      </c>
    </row>
    <row r="42" spans="1:32" ht="13.5" thickBot="1">
      <c r="A42" s="425"/>
      <c r="B42" s="238" t="s">
        <v>100</v>
      </c>
      <c r="C42" s="350">
        <f aca="true" t="shared" si="19" ref="C42:AF42">C41/C10</f>
        <v>0.0033537387955997265</v>
      </c>
      <c r="D42" s="351">
        <f t="shared" si="19"/>
        <v>0.004303912743830665</v>
      </c>
      <c r="E42" s="351">
        <f t="shared" si="19"/>
        <v>0.0041851710805285705</v>
      </c>
      <c r="F42" s="351">
        <f t="shared" si="19"/>
        <v>0.0025488648951937486</v>
      </c>
      <c r="G42" s="351">
        <f t="shared" si="19"/>
        <v>0.002694110204623134</v>
      </c>
      <c r="H42" s="352">
        <f t="shared" si="19"/>
        <v>0.0035894600834614314</v>
      </c>
      <c r="I42" s="353">
        <f t="shared" si="19"/>
        <v>0.001275487107748408</v>
      </c>
      <c r="J42" s="354">
        <f t="shared" si="19"/>
        <v>0.001555317251145578</v>
      </c>
      <c r="K42" s="354">
        <f t="shared" si="19"/>
        <v>0.0016276885323159703</v>
      </c>
      <c r="L42" s="354">
        <f t="shared" si="19"/>
        <v>0.0010055353277310072</v>
      </c>
      <c r="M42" s="354">
        <f t="shared" si="19"/>
        <v>0.000962812955426021</v>
      </c>
      <c r="N42" s="355">
        <f t="shared" si="19"/>
        <v>0.0013550509905726849</v>
      </c>
      <c r="O42" s="356">
        <f t="shared" si="19"/>
        <v>0.0018758532887450153</v>
      </c>
      <c r="P42" s="357">
        <f t="shared" si="19"/>
        <v>0.0024843310457025405</v>
      </c>
      <c r="Q42" s="357">
        <f t="shared" si="19"/>
        <v>0.002263761161711128</v>
      </c>
      <c r="R42" s="357">
        <f t="shared" si="19"/>
        <v>0.001539055865391743</v>
      </c>
      <c r="S42" s="357">
        <f t="shared" si="19"/>
        <v>0.0013357913056616943</v>
      </c>
      <c r="T42" s="358">
        <f t="shared" si="19"/>
        <v>0.002038719354763801</v>
      </c>
      <c r="U42" s="359">
        <f t="shared" si="19"/>
        <v>0.0048800890030515805</v>
      </c>
      <c r="V42" s="360">
        <f t="shared" si="19"/>
        <v>0.0045825303430763985</v>
      </c>
      <c r="W42" s="360">
        <f t="shared" si="19"/>
        <v>0.006177226673744763</v>
      </c>
      <c r="X42" s="360">
        <f t="shared" si="19"/>
        <v>0.003907301833945624</v>
      </c>
      <c r="Y42" s="360">
        <f t="shared" si="19"/>
        <v>0.0036949800334063554</v>
      </c>
      <c r="Z42" s="361">
        <f t="shared" si="19"/>
        <v>0.005182532052598617</v>
      </c>
      <c r="AA42" s="362">
        <f t="shared" si="19"/>
        <v>0.0048800890030515805</v>
      </c>
      <c r="AB42" s="363">
        <f t="shared" si="19"/>
        <v>0.0045825303430763985</v>
      </c>
      <c r="AC42" s="363">
        <f t="shared" si="19"/>
        <v>0.006177226673744763</v>
      </c>
      <c r="AD42" s="363">
        <f t="shared" si="19"/>
        <v>0.003907301833945624</v>
      </c>
      <c r="AE42" s="363">
        <f t="shared" si="19"/>
        <v>0.0036949800334063554</v>
      </c>
      <c r="AF42" s="364">
        <f t="shared" si="19"/>
        <v>0.005182532052598617</v>
      </c>
    </row>
    <row r="43" spans="1:32" ht="13.5" thickBot="1">
      <c r="A43" s="424"/>
      <c r="B43" s="146"/>
      <c r="C43" s="56"/>
      <c r="D43" s="57"/>
      <c r="E43" s="57"/>
      <c r="F43" s="57"/>
      <c r="G43" s="57"/>
      <c r="H43" s="58"/>
      <c r="I43" s="77"/>
      <c r="J43" s="78"/>
      <c r="K43" s="78"/>
      <c r="L43" s="78"/>
      <c r="M43" s="78"/>
      <c r="N43" s="365"/>
      <c r="O43" s="366"/>
      <c r="P43" s="101"/>
      <c r="Q43" s="101"/>
      <c r="R43" s="101"/>
      <c r="S43" s="101"/>
      <c r="T43" s="124"/>
      <c r="U43" s="169"/>
      <c r="V43" s="178"/>
      <c r="W43" s="178"/>
      <c r="X43" s="178"/>
      <c r="Y43" s="178"/>
      <c r="Z43" s="367"/>
      <c r="AA43" s="332"/>
      <c r="AB43" s="333"/>
      <c r="AC43" s="333"/>
      <c r="AD43" s="333"/>
      <c r="AE43" s="333"/>
      <c r="AF43" s="334"/>
    </row>
    <row r="44" spans="1:32" ht="12.75">
      <c r="A44" s="423" t="s">
        <v>15</v>
      </c>
      <c r="B44" s="237" t="s">
        <v>16</v>
      </c>
      <c r="C44" s="59">
        <f>'Données RW'!C38</f>
        <v>25.598305407279483</v>
      </c>
      <c r="D44" s="60">
        <f>'Données RW'!D38</f>
        <v>25.61025463689201</v>
      </c>
      <c r="E44" s="60">
        <f>'Données RW'!E38</f>
        <v>25.8951453165255</v>
      </c>
      <c r="F44" s="60">
        <f>'Données RW'!F38</f>
        <v>23.23542893842223</v>
      </c>
      <c r="G44" s="60">
        <f>'Données RW'!G38</f>
        <v>26.49709015397603</v>
      </c>
      <c r="H44" s="61">
        <f>'Données RW'!H38</f>
        <v>26.69230919126673</v>
      </c>
      <c r="I44" s="368">
        <f>'Données RW'!I38</f>
        <v>25.598305407279483</v>
      </c>
      <c r="J44" s="369">
        <f>'Données RW'!J38</f>
        <v>25.61025463689201</v>
      </c>
      <c r="K44" s="369">
        <f>'Données RW'!K38</f>
        <v>25.8951453165255</v>
      </c>
      <c r="L44" s="369">
        <f>'Données RW'!L38</f>
        <v>23.23542893842223</v>
      </c>
      <c r="M44" s="369">
        <f>'Données RW'!M38</f>
        <v>26.49709015397603</v>
      </c>
      <c r="N44" s="370">
        <f>'Données RW'!N38</f>
        <v>26.69230919126673</v>
      </c>
      <c r="O44" s="371">
        <f>'Données RW'!O38</f>
        <v>25.598305407279483</v>
      </c>
      <c r="P44" s="372">
        <f>'Données RW'!P38</f>
        <v>25.61025463689201</v>
      </c>
      <c r="Q44" s="372">
        <f>'Données RW'!Q38</f>
        <v>25.8951453165255</v>
      </c>
      <c r="R44" s="372">
        <f>'Données RW'!R38</f>
        <v>23.23542893842223</v>
      </c>
      <c r="S44" s="372">
        <f>'Données RW'!S38</f>
        <v>26.49709015397603</v>
      </c>
      <c r="T44" s="373">
        <f>'Données RW'!T38</f>
        <v>26.69230919126673</v>
      </c>
      <c r="U44" s="374">
        <f>'Données RW'!U38</f>
        <v>25.598305407279483</v>
      </c>
      <c r="V44" s="375">
        <f>'Données RW'!V38</f>
        <v>25.61025463689201</v>
      </c>
      <c r="W44" s="375">
        <f>'Données RW'!W38</f>
        <v>25.8951453165255</v>
      </c>
      <c r="X44" s="375">
        <f>'Données RW'!X38</f>
        <v>23.23542893842223</v>
      </c>
      <c r="Y44" s="375">
        <f>'Données RW'!Y38</f>
        <v>26.49709015397603</v>
      </c>
      <c r="Z44" s="376">
        <f>'Données RW'!Z38</f>
        <v>26.69230919126673</v>
      </c>
      <c r="AA44" s="377">
        <f>'Données RW'!AA38</f>
        <v>25.598305407279483</v>
      </c>
      <c r="AB44" s="378">
        <f>'Données RW'!AB38</f>
        <v>25.61025463689201</v>
      </c>
      <c r="AC44" s="378">
        <f>'Données RW'!AC38</f>
        <v>25.8951453165255</v>
      </c>
      <c r="AD44" s="378">
        <f>'Données RW'!AD38</f>
        <v>23.23542893842223</v>
      </c>
      <c r="AE44" s="378">
        <f>'Données RW'!AE38</f>
        <v>26.49709015397603</v>
      </c>
      <c r="AF44" s="379">
        <f>'Données RW'!AF38</f>
        <v>26.69230919126673</v>
      </c>
    </row>
    <row r="45" spans="1:32" ht="12.75">
      <c r="A45" s="424"/>
      <c r="B45" s="146" t="s">
        <v>33</v>
      </c>
      <c r="C45" s="248">
        <f>'Données RW'!C39</f>
        <v>1017.8</v>
      </c>
      <c r="D45" s="41">
        <f>'Données RW'!D39</f>
        <v>1017.8</v>
      </c>
      <c r="E45" s="41">
        <f>'Données RW'!E39</f>
        <v>1017.8</v>
      </c>
      <c r="F45" s="41">
        <f>'Données RW'!F39</f>
        <v>1017.8</v>
      </c>
      <c r="G45" s="41">
        <f>'Données RW'!G39</f>
        <v>1017.8</v>
      </c>
      <c r="H45" s="249">
        <f>'Données RW'!H39</f>
        <v>1017.8</v>
      </c>
      <c r="I45" s="73">
        <f>'Données RW'!I39</f>
        <v>1017.8</v>
      </c>
      <c r="J45" s="74">
        <f>'Données RW'!J39</f>
        <v>1017.8</v>
      </c>
      <c r="K45" s="74">
        <f>'Données RW'!K39</f>
        <v>1017.8</v>
      </c>
      <c r="L45" s="74">
        <f>'Données RW'!L39</f>
        <v>1017.8</v>
      </c>
      <c r="M45" s="74">
        <f>'Données RW'!M39</f>
        <v>1017.8</v>
      </c>
      <c r="N45" s="263">
        <f>'Données RW'!N39</f>
        <v>1017.8</v>
      </c>
      <c r="O45" s="274">
        <f>'Données RW'!O39</f>
        <v>1017.8</v>
      </c>
      <c r="P45" s="95">
        <f>'Données RW'!P39</f>
        <v>1017.8</v>
      </c>
      <c r="Q45" s="95">
        <f>'Données RW'!Q39</f>
        <v>1017.8</v>
      </c>
      <c r="R45" s="95">
        <f>'Données RW'!R39</f>
        <v>1017.8</v>
      </c>
      <c r="S45" s="95">
        <f>'Données RW'!S39</f>
        <v>1017.8</v>
      </c>
      <c r="T45" s="284">
        <f>'Données RW'!T39</f>
        <v>1017.8</v>
      </c>
      <c r="U45" s="177">
        <f>'Données RW'!U39</f>
        <v>1017.8</v>
      </c>
      <c r="V45" s="172">
        <f>'Données RW'!V39</f>
        <v>1017.8</v>
      </c>
      <c r="W45" s="172">
        <f>'Données RW'!W39</f>
        <v>1017.8</v>
      </c>
      <c r="X45" s="172">
        <f>'Données RW'!X39</f>
        <v>1017.8</v>
      </c>
      <c r="Y45" s="172">
        <f>'Données RW'!Y39</f>
        <v>1017.8</v>
      </c>
      <c r="Z45" s="297">
        <f>'Données RW'!Z39</f>
        <v>1017.8</v>
      </c>
      <c r="AA45" s="314">
        <f>'Données RW'!AA39</f>
        <v>1017.8</v>
      </c>
      <c r="AB45" s="193">
        <f>'Données RW'!AB39</f>
        <v>1017.8</v>
      </c>
      <c r="AC45" s="193">
        <f>'Données RW'!AC39</f>
        <v>1017.8</v>
      </c>
      <c r="AD45" s="193">
        <f>'Données RW'!AD39</f>
        <v>1017.8</v>
      </c>
      <c r="AE45" s="193">
        <f>'Données RW'!AE39</f>
        <v>1017.8</v>
      </c>
      <c r="AF45" s="315">
        <f>'Données RW'!AF39</f>
        <v>1017.8</v>
      </c>
    </row>
    <row r="46" spans="1:32" ht="12.75">
      <c r="A46" s="424"/>
      <c r="B46" s="146" t="s">
        <v>7</v>
      </c>
      <c r="C46" s="252">
        <f aca="true" t="shared" si="20" ref="C46:AF46">C44*C45</f>
        <v>26053.955243529057</v>
      </c>
      <c r="D46" s="142">
        <f t="shared" si="20"/>
        <v>26066.117169428686</v>
      </c>
      <c r="E46" s="142">
        <f t="shared" si="20"/>
        <v>26356.078903159654</v>
      </c>
      <c r="F46" s="142">
        <f t="shared" si="20"/>
        <v>23649.019573526144</v>
      </c>
      <c r="G46" s="142">
        <f t="shared" si="20"/>
        <v>26968.7383587168</v>
      </c>
      <c r="H46" s="253">
        <f t="shared" si="20"/>
        <v>27167.432294871276</v>
      </c>
      <c r="I46" s="242">
        <f t="shared" si="20"/>
        <v>26053.955243529057</v>
      </c>
      <c r="J46" s="153">
        <f t="shared" si="20"/>
        <v>26066.117169428686</v>
      </c>
      <c r="K46" s="153">
        <f t="shared" si="20"/>
        <v>26356.078903159654</v>
      </c>
      <c r="L46" s="153">
        <f t="shared" si="20"/>
        <v>23649.019573526144</v>
      </c>
      <c r="M46" s="153">
        <f t="shared" si="20"/>
        <v>26968.7383587168</v>
      </c>
      <c r="N46" s="265">
        <f t="shared" si="20"/>
        <v>27167.432294871276</v>
      </c>
      <c r="O46" s="276">
        <f t="shared" si="20"/>
        <v>26053.955243529057</v>
      </c>
      <c r="P46" s="160">
        <f t="shared" si="20"/>
        <v>26066.117169428686</v>
      </c>
      <c r="Q46" s="160">
        <f t="shared" si="20"/>
        <v>26356.078903159654</v>
      </c>
      <c r="R46" s="160">
        <f t="shared" si="20"/>
        <v>23649.019573526144</v>
      </c>
      <c r="S46" s="160">
        <f t="shared" si="20"/>
        <v>26968.7383587168</v>
      </c>
      <c r="T46" s="286">
        <f t="shared" si="20"/>
        <v>27167.432294871276</v>
      </c>
      <c r="U46" s="300">
        <f t="shared" si="20"/>
        <v>26053.955243529057</v>
      </c>
      <c r="V46" s="186">
        <f t="shared" si="20"/>
        <v>26066.117169428686</v>
      </c>
      <c r="W46" s="186">
        <f t="shared" si="20"/>
        <v>26356.078903159654</v>
      </c>
      <c r="X46" s="186">
        <f t="shared" si="20"/>
        <v>23649.019573526144</v>
      </c>
      <c r="Y46" s="186">
        <f t="shared" si="20"/>
        <v>26968.7383587168</v>
      </c>
      <c r="Z46" s="301">
        <f t="shared" si="20"/>
        <v>27167.432294871276</v>
      </c>
      <c r="AA46" s="318">
        <f t="shared" si="20"/>
        <v>26053.955243529057</v>
      </c>
      <c r="AB46" s="202">
        <f t="shared" si="20"/>
        <v>26066.117169428686</v>
      </c>
      <c r="AC46" s="202">
        <f t="shared" si="20"/>
        <v>26356.078903159654</v>
      </c>
      <c r="AD46" s="202">
        <f t="shared" si="20"/>
        <v>23649.019573526144</v>
      </c>
      <c r="AE46" s="202">
        <f t="shared" si="20"/>
        <v>26968.7383587168</v>
      </c>
      <c r="AF46" s="319">
        <f t="shared" si="20"/>
        <v>27167.432294871276</v>
      </c>
    </row>
    <row r="47" spans="1:32" ht="12.75">
      <c r="A47" s="424"/>
      <c r="B47" s="146" t="s">
        <v>133</v>
      </c>
      <c r="C47" s="252">
        <f aca="true" t="shared" si="21" ref="C47:AF47">C46/C9</f>
        <v>3502.65250270948</v>
      </c>
      <c r="D47" s="142">
        <f t="shared" si="21"/>
        <v>3492.7130067571607</v>
      </c>
      <c r="E47" s="142">
        <f t="shared" si="21"/>
        <v>3555.866014997255</v>
      </c>
      <c r="F47" s="142">
        <f t="shared" si="21"/>
        <v>3024.1713009624227</v>
      </c>
      <c r="G47" s="142">
        <f t="shared" si="21"/>
        <v>4264.506381833776</v>
      </c>
      <c r="H47" s="580">
        <f t="shared" si="21"/>
        <v>3746.973628697508</v>
      </c>
      <c r="I47" s="581">
        <f t="shared" si="21"/>
        <v>1332.1216655245591</v>
      </c>
      <c r="J47" s="153">
        <f t="shared" si="21"/>
        <v>1262.1716833122869</v>
      </c>
      <c r="K47" s="153">
        <f t="shared" si="21"/>
        <v>1382.9404398761494</v>
      </c>
      <c r="L47" s="153">
        <f t="shared" si="21"/>
        <v>1193.0452202319673</v>
      </c>
      <c r="M47" s="153">
        <f t="shared" si="21"/>
        <v>1524.0363908947306</v>
      </c>
      <c r="N47" s="582">
        <f t="shared" si="21"/>
        <v>1414.513661987862</v>
      </c>
      <c r="O47" s="160">
        <f t="shared" si="21"/>
        <v>2466.218433034118</v>
      </c>
      <c r="P47" s="160">
        <f t="shared" si="21"/>
        <v>2537.8956542094925</v>
      </c>
      <c r="Q47" s="160">
        <f t="shared" si="21"/>
        <v>2421.183074841824</v>
      </c>
      <c r="R47" s="160">
        <f t="shared" si="21"/>
        <v>2298.6815395609424</v>
      </c>
      <c r="S47" s="160">
        <f t="shared" si="21"/>
        <v>2661.686342424824</v>
      </c>
      <c r="T47" s="286">
        <f t="shared" si="21"/>
        <v>2679.0067405398827</v>
      </c>
      <c r="U47" s="300">
        <f t="shared" si="21"/>
        <v>7944.974611511315</v>
      </c>
      <c r="V47" s="186">
        <f t="shared" si="21"/>
        <v>5796.979243729275</v>
      </c>
      <c r="W47" s="186">
        <f t="shared" si="21"/>
        <v>8181.3065041625505</v>
      </c>
      <c r="X47" s="186">
        <f t="shared" si="21"/>
        <v>7226.591160741374</v>
      </c>
      <c r="Y47" s="186">
        <f t="shared" si="21"/>
        <v>9117.220540472212</v>
      </c>
      <c r="Z47" s="301">
        <f t="shared" si="21"/>
        <v>8433.162283057978</v>
      </c>
      <c r="AA47" s="583">
        <f t="shared" si="21"/>
        <v>7944.974611511315</v>
      </c>
      <c r="AB47" s="202">
        <f t="shared" si="21"/>
        <v>5796.979243729275</v>
      </c>
      <c r="AC47" s="202">
        <f t="shared" si="21"/>
        <v>8181.3065041625505</v>
      </c>
      <c r="AD47" s="202">
        <f t="shared" si="21"/>
        <v>7226.591160741374</v>
      </c>
      <c r="AE47" s="202">
        <f t="shared" si="21"/>
        <v>9117.220540472212</v>
      </c>
      <c r="AF47" s="319">
        <f t="shared" si="21"/>
        <v>8433.162283057978</v>
      </c>
    </row>
    <row r="48" spans="1:32" ht="12.75">
      <c r="A48" s="424"/>
      <c r="B48" s="146" t="s">
        <v>40</v>
      </c>
      <c r="C48" s="54">
        <f aca="true" t="shared" si="22" ref="C48:AF48">C46/C83</f>
        <v>0.21513106818279334</v>
      </c>
      <c r="D48" s="140">
        <f t="shared" si="22"/>
        <v>0.21452058958699574</v>
      </c>
      <c r="E48" s="140">
        <f t="shared" si="22"/>
        <v>0.21839941402394425</v>
      </c>
      <c r="F48" s="140">
        <f t="shared" si="22"/>
        <v>0.1857430052911406</v>
      </c>
      <c r="G48" s="140">
        <f t="shared" si="22"/>
        <v>0.26192373136831654</v>
      </c>
      <c r="H48" s="584">
        <f t="shared" si="22"/>
        <v>0.23013714279989242</v>
      </c>
      <c r="I48" s="585">
        <f t="shared" si="22"/>
        <v>0.09990919821529441</v>
      </c>
      <c r="J48" s="151">
        <f t="shared" si="22"/>
        <v>0.0946629457003259</v>
      </c>
      <c r="K48" s="151">
        <f t="shared" si="22"/>
        <v>0.10372060908800326</v>
      </c>
      <c r="L48" s="151">
        <f t="shared" si="22"/>
        <v>0.0894784571655686</v>
      </c>
      <c r="M48" s="151">
        <f t="shared" si="22"/>
        <v>0.11430281317830301</v>
      </c>
      <c r="N48" s="586">
        <f t="shared" si="22"/>
        <v>0.10608860248372096</v>
      </c>
      <c r="O48" s="158">
        <f t="shared" si="22"/>
        <v>0.1343470258657489</v>
      </c>
      <c r="P48" s="158">
        <f t="shared" si="22"/>
        <v>0.13825163600013426</v>
      </c>
      <c r="Q48" s="158">
        <f t="shared" si="22"/>
        <v>0.13189372880540304</v>
      </c>
      <c r="R48" s="158">
        <f t="shared" si="22"/>
        <v>0.1252204687613902</v>
      </c>
      <c r="S48" s="158">
        <f t="shared" si="22"/>
        <v>0.1449951225335406</v>
      </c>
      <c r="T48" s="283">
        <f t="shared" si="22"/>
        <v>0.1459386496527934</v>
      </c>
      <c r="U48" s="174">
        <f t="shared" si="22"/>
        <v>0.305451613563266</v>
      </c>
      <c r="V48" s="184">
        <f t="shared" si="22"/>
        <v>0.22287002166430359</v>
      </c>
      <c r="W48" s="184">
        <f t="shared" si="22"/>
        <v>0.31453760332114244</v>
      </c>
      <c r="X48" s="184">
        <f t="shared" si="22"/>
        <v>0.2778327230161652</v>
      </c>
      <c r="Y48" s="184">
        <f t="shared" si="22"/>
        <v>0.35051965065620816</v>
      </c>
      <c r="Z48" s="296">
        <f t="shared" si="22"/>
        <v>0.32422042268942336</v>
      </c>
      <c r="AA48" s="587">
        <f t="shared" si="22"/>
        <v>0.32579710717836385</v>
      </c>
      <c r="AB48" s="195">
        <f t="shared" si="22"/>
        <v>0.23771492803055727</v>
      </c>
      <c r="AC48" s="195">
        <f t="shared" si="22"/>
        <v>0.33548829572517197</v>
      </c>
      <c r="AD48" s="195">
        <f t="shared" si="22"/>
        <v>0.29633858005273256</v>
      </c>
      <c r="AE48" s="195">
        <f t="shared" si="22"/>
        <v>0.37386703203422506</v>
      </c>
      <c r="AF48" s="313">
        <f t="shared" si="22"/>
        <v>0.3458160674554174</v>
      </c>
    </row>
    <row r="49" spans="1:32" ht="12.75">
      <c r="A49" s="424"/>
      <c r="B49" s="146" t="s">
        <v>31</v>
      </c>
      <c r="C49" s="254">
        <f>'Données RW'!C40</f>
        <v>15.47</v>
      </c>
      <c r="D49" s="143">
        <f>'Données RW'!D40</f>
        <v>15.47</v>
      </c>
      <c r="E49" s="143">
        <f>'Données RW'!E40</f>
        <v>15.47</v>
      </c>
      <c r="F49" s="143">
        <f>'Données RW'!F40</f>
        <v>15.47</v>
      </c>
      <c r="G49" s="143">
        <f>'Données RW'!G40</f>
        <v>15.47</v>
      </c>
      <c r="H49" s="255">
        <f>'Données RW'!H40</f>
        <v>15.47</v>
      </c>
      <c r="I49" s="83">
        <f>'Données RW'!I40</f>
        <v>15.47</v>
      </c>
      <c r="J49" s="84">
        <f>'Données RW'!J40</f>
        <v>15.47</v>
      </c>
      <c r="K49" s="84">
        <f>'Données RW'!K40</f>
        <v>15.47</v>
      </c>
      <c r="L49" s="84">
        <f>'Données RW'!L40</f>
        <v>15.47</v>
      </c>
      <c r="M49" s="84">
        <f>'Données RW'!M40</f>
        <v>15.47</v>
      </c>
      <c r="N49" s="266">
        <f>'Données RW'!N40</f>
        <v>15.47</v>
      </c>
      <c r="O49" s="277">
        <f>'Données RW'!O40</f>
        <v>15.47</v>
      </c>
      <c r="P49" s="161">
        <f>'Données RW'!P40</f>
        <v>15.47</v>
      </c>
      <c r="Q49" s="161">
        <f>'Données RW'!Q40</f>
        <v>15.47</v>
      </c>
      <c r="R49" s="161">
        <f>'Données RW'!R40</f>
        <v>15.47</v>
      </c>
      <c r="S49" s="161">
        <f>'Données RW'!S40</f>
        <v>15.47</v>
      </c>
      <c r="T49" s="287">
        <f>'Données RW'!T40</f>
        <v>15.47</v>
      </c>
      <c r="U49" s="302">
        <f>'Données RW'!U40</f>
        <v>15.47</v>
      </c>
      <c r="V49" s="187">
        <f>'Données RW'!V40</f>
        <v>15.47</v>
      </c>
      <c r="W49" s="187">
        <f>'Données RW'!W40</f>
        <v>15.47</v>
      </c>
      <c r="X49" s="187">
        <f>'Données RW'!X40</f>
        <v>15.47</v>
      </c>
      <c r="Y49" s="187">
        <f>'Données RW'!Y40</f>
        <v>15.47</v>
      </c>
      <c r="Z49" s="303">
        <f>'Données RW'!Z40</f>
        <v>15.47</v>
      </c>
      <c r="AA49" s="320">
        <f>'Données RW'!AA40</f>
        <v>15.47</v>
      </c>
      <c r="AB49" s="203">
        <f>'Données RW'!AB40</f>
        <v>15.47</v>
      </c>
      <c r="AC49" s="203">
        <f>'Données RW'!AC40</f>
        <v>15.47</v>
      </c>
      <c r="AD49" s="203">
        <f>'Données RW'!AD40</f>
        <v>15.47</v>
      </c>
      <c r="AE49" s="203">
        <f>'Données RW'!AE40</f>
        <v>15.47</v>
      </c>
      <c r="AF49" s="321">
        <f>'Données RW'!AF40</f>
        <v>15.47</v>
      </c>
    </row>
    <row r="50" spans="1:32" ht="12.75">
      <c r="A50" s="424"/>
      <c r="B50" s="146" t="s">
        <v>8</v>
      </c>
      <c r="C50" s="252">
        <f aca="true" t="shared" si="23" ref="C50:AF50">C44*C49</f>
        <v>396.00578465061363</v>
      </c>
      <c r="D50" s="142">
        <f t="shared" si="23"/>
        <v>396.1906392327194</v>
      </c>
      <c r="E50" s="142">
        <f t="shared" si="23"/>
        <v>400.5978980466495</v>
      </c>
      <c r="F50" s="142">
        <f t="shared" si="23"/>
        <v>359.45208567739195</v>
      </c>
      <c r="G50" s="142">
        <f t="shared" si="23"/>
        <v>409.90998468200917</v>
      </c>
      <c r="H50" s="253">
        <f t="shared" si="23"/>
        <v>412.9300231888963</v>
      </c>
      <c r="I50" s="242">
        <f t="shared" si="23"/>
        <v>396.00578465061363</v>
      </c>
      <c r="J50" s="153">
        <f t="shared" si="23"/>
        <v>396.1906392327194</v>
      </c>
      <c r="K50" s="153">
        <f t="shared" si="23"/>
        <v>400.5978980466495</v>
      </c>
      <c r="L50" s="153">
        <f t="shared" si="23"/>
        <v>359.45208567739195</v>
      </c>
      <c r="M50" s="153">
        <f t="shared" si="23"/>
        <v>409.90998468200917</v>
      </c>
      <c r="N50" s="265">
        <f t="shared" si="23"/>
        <v>412.9300231888963</v>
      </c>
      <c r="O50" s="276">
        <f t="shared" si="23"/>
        <v>396.00578465061363</v>
      </c>
      <c r="P50" s="160">
        <f t="shared" si="23"/>
        <v>396.1906392327194</v>
      </c>
      <c r="Q50" s="160">
        <f t="shared" si="23"/>
        <v>400.5978980466495</v>
      </c>
      <c r="R50" s="160">
        <f t="shared" si="23"/>
        <v>359.45208567739195</v>
      </c>
      <c r="S50" s="160">
        <f t="shared" si="23"/>
        <v>409.90998468200917</v>
      </c>
      <c r="T50" s="286">
        <f t="shared" si="23"/>
        <v>412.9300231888963</v>
      </c>
      <c r="U50" s="300">
        <f t="shared" si="23"/>
        <v>396.00578465061363</v>
      </c>
      <c r="V50" s="186">
        <f t="shared" si="23"/>
        <v>396.1906392327194</v>
      </c>
      <c r="W50" s="186">
        <f t="shared" si="23"/>
        <v>400.5978980466495</v>
      </c>
      <c r="X50" s="186">
        <f t="shared" si="23"/>
        <v>359.45208567739195</v>
      </c>
      <c r="Y50" s="186">
        <f t="shared" si="23"/>
        <v>409.90998468200917</v>
      </c>
      <c r="Z50" s="301">
        <f t="shared" si="23"/>
        <v>412.9300231888963</v>
      </c>
      <c r="AA50" s="318">
        <f t="shared" si="23"/>
        <v>396.00578465061363</v>
      </c>
      <c r="AB50" s="202">
        <f t="shared" si="23"/>
        <v>396.1906392327194</v>
      </c>
      <c r="AC50" s="202">
        <f t="shared" si="23"/>
        <v>400.5978980466495</v>
      </c>
      <c r="AD50" s="202">
        <f t="shared" si="23"/>
        <v>359.45208567739195</v>
      </c>
      <c r="AE50" s="202">
        <f t="shared" si="23"/>
        <v>409.90998468200917</v>
      </c>
      <c r="AF50" s="319">
        <f t="shared" si="23"/>
        <v>412.9300231888963</v>
      </c>
    </row>
    <row r="51" spans="1:32" ht="13.5" thickBot="1">
      <c r="A51" s="425"/>
      <c r="B51" s="238" t="s">
        <v>100</v>
      </c>
      <c r="C51" s="350">
        <f aca="true" t="shared" si="24" ref="C51:AF51">C50/C10</f>
        <v>0.00313167005056556</v>
      </c>
      <c r="D51" s="351">
        <f t="shared" si="24"/>
        <v>0.003122783293524284</v>
      </c>
      <c r="E51" s="351">
        <f t="shared" si="24"/>
        <v>0.003179247468704561</v>
      </c>
      <c r="F51" s="351">
        <f t="shared" si="24"/>
        <v>0.0027038670503790577</v>
      </c>
      <c r="G51" s="351">
        <f t="shared" si="24"/>
        <v>0.0038128323909105287</v>
      </c>
      <c r="H51" s="352">
        <f t="shared" si="24"/>
        <v>0.0033501139733884185</v>
      </c>
      <c r="I51" s="353">
        <f t="shared" si="24"/>
        <v>0.0011910303749531825</v>
      </c>
      <c r="J51" s="354">
        <f t="shared" si="24"/>
        <v>0.001128489125382375</v>
      </c>
      <c r="K51" s="354">
        <f t="shared" si="24"/>
        <v>0.0012364666931492395</v>
      </c>
      <c r="L51" s="354">
        <f t="shared" si="24"/>
        <v>0.001066684172146876</v>
      </c>
      <c r="M51" s="354">
        <f t="shared" si="24"/>
        <v>0.0013626185063020289</v>
      </c>
      <c r="N51" s="355">
        <f t="shared" si="24"/>
        <v>0.0012646958463440306</v>
      </c>
      <c r="O51" s="356">
        <f t="shared" si="24"/>
        <v>0.0017516431426697224</v>
      </c>
      <c r="P51" s="357">
        <f t="shared" si="24"/>
        <v>0.0018025522232587446</v>
      </c>
      <c r="Q51" s="357">
        <f t="shared" si="24"/>
        <v>0.0017196565695022533</v>
      </c>
      <c r="R51" s="357">
        <f t="shared" si="24"/>
        <v>0.0016326492828130212</v>
      </c>
      <c r="S51" s="357">
        <f t="shared" si="24"/>
        <v>0.00189047513683132</v>
      </c>
      <c r="T51" s="358">
        <f t="shared" si="24"/>
        <v>0.0019027770303619862</v>
      </c>
      <c r="U51" s="359">
        <f t="shared" si="24"/>
        <v>0.004556952555459243</v>
      </c>
      <c r="V51" s="360">
        <f t="shared" si="24"/>
        <v>0.0033249394328311484</v>
      </c>
      <c r="W51" s="360">
        <f t="shared" si="24"/>
        <v>0.004692504054968528</v>
      </c>
      <c r="X51" s="360">
        <f t="shared" si="24"/>
        <v>0.0041449135670598835</v>
      </c>
      <c r="Y51" s="360">
        <f t="shared" si="24"/>
        <v>0.005229310787273518</v>
      </c>
      <c r="Z51" s="361">
        <f t="shared" si="24"/>
        <v>0.004836959498989939</v>
      </c>
      <c r="AA51" s="362">
        <f t="shared" si="24"/>
        <v>0.004556952555459243</v>
      </c>
      <c r="AB51" s="363">
        <f t="shared" si="24"/>
        <v>0.0033249394328311484</v>
      </c>
      <c r="AC51" s="363">
        <f t="shared" si="24"/>
        <v>0.004692504054968528</v>
      </c>
      <c r="AD51" s="363">
        <f t="shared" si="24"/>
        <v>0.0041449135670598835</v>
      </c>
      <c r="AE51" s="363">
        <f t="shared" si="24"/>
        <v>0.005229310787273518</v>
      </c>
      <c r="AF51" s="364">
        <f t="shared" si="24"/>
        <v>0.004836959498989939</v>
      </c>
    </row>
    <row r="52" spans="1:32" ht="13.5" thickBot="1">
      <c r="A52" s="424"/>
      <c r="B52" s="146"/>
      <c r="C52" s="45"/>
      <c r="D52" s="46"/>
      <c r="E52" s="46"/>
      <c r="F52" s="46"/>
      <c r="G52" s="46"/>
      <c r="H52" s="47"/>
      <c r="I52" s="77"/>
      <c r="J52" s="78"/>
      <c r="K52" s="78"/>
      <c r="L52" s="78"/>
      <c r="M52" s="78"/>
      <c r="N52" s="365"/>
      <c r="O52" s="366"/>
      <c r="P52" s="101"/>
      <c r="Q52" s="101"/>
      <c r="R52" s="101"/>
      <c r="S52" s="101"/>
      <c r="T52" s="124"/>
      <c r="U52" s="169"/>
      <c r="V52" s="178"/>
      <c r="W52" s="178"/>
      <c r="X52" s="178"/>
      <c r="Y52" s="178"/>
      <c r="Z52" s="367"/>
      <c r="AA52" s="384"/>
      <c r="AB52" s="211"/>
      <c r="AC52" s="211"/>
      <c r="AD52" s="211"/>
      <c r="AE52" s="211"/>
      <c r="AF52" s="385"/>
    </row>
    <row r="53" spans="1:32" ht="12.75">
      <c r="A53" s="423" t="s">
        <v>17</v>
      </c>
      <c r="B53" s="237" t="s">
        <v>35</v>
      </c>
      <c r="C53" s="402">
        <f>'Données RW'!C43</f>
        <v>2.209813572481422</v>
      </c>
      <c r="D53" s="403">
        <f>'Données RW'!D43</f>
        <v>3.8800814326977875</v>
      </c>
      <c r="E53" s="403">
        <f>'Données RW'!E43</f>
        <v>3.661620502898496</v>
      </c>
      <c r="F53" s="403">
        <f>'Données RW'!F43</f>
        <v>1.8587305753806058</v>
      </c>
      <c r="G53" s="403">
        <f>'Données RW'!G43</f>
        <v>0.2746883227590502</v>
      </c>
      <c r="H53" s="404">
        <f>'Données RW'!H43</f>
        <v>1.750908070768538</v>
      </c>
      <c r="I53" s="405">
        <f>'Données RW'!I43</f>
        <v>2.209813572481422</v>
      </c>
      <c r="J53" s="406">
        <f>'Données RW'!J43</f>
        <v>3.8800814326977875</v>
      </c>
      <c r="K53" s="406">
        <f>'Données RW'!K43</f>
        <v>3.661620502898496</v>
      </c>
      <c r="L53" s="406">
        <f>'Données RW'!L43</f>
        <v>1.8587305753806058</v>
      </c>
      <c r="M53" s="406">
        <f>'Données RW'!M43</f>
        <v>0.2746883227590502</v>
      </c>
      <c r="N53" s="407">
        <f>'Données RW'!N43</f>
        <v>1.750908070768538</v>
      </c>
      <c r="O53" s="408">
        <f>'Données RW'!O43</f>
        <v>2.209813572481422</v>
      </c>
      <c r="P53" s="409">
        <f>'Données RW'!P43</f>
        <v>3.8800814326977875</v>
      </c>
      <c r="Q53" s="409">
        <f>'Données RW'!Q43</f>
        <v>3.661620502898496</v>
      </c>
      <c r="R53" s="409">
        <f>'Données RW'!R43</f>
        <v>1.8587305753806058</v>
      </c>
      <c r="S53" s="409">
        <f>'Données RW'!S43</f>
        <v>0.2746883227590502</v>
      </c>
      <c r="T53" s="410">
        <f>'Données RW'!T43</f>
        <v>1.750908070768538</v>
      </c>
      <c r="U53" s="411">
        <f>'Données RW'!U43</f>
        <v>2.209813572481422</v>
      </c>
      <c r="V53" s="412">
        <f>'Données RW'!V43</f>
        <v>3.8800814326977875</v>
      </c>
      <c r="W53" s="412">
        <f>'Données RW'!W43</f>
        <v>3.661620502898496</v>
      </c>
      <c r="X53" s="412">
        <f>'Données RW'!X43</f>
        <v>1.8587305753806058</v>
      </c>
      <c r="Y53" s="412">
        <f>'Données RW'!Y43</f>
        <v>0.2746883227590502</v>
      </c>
      <c r="Z53" s="413">
        <f>'Données RW'!Z43</f>
        <v>1.750908070768538</v>
      </c>
      <c r="AA53" s="414">
        <f>'Données RW'!AA43</f>
        <v>2.209813572481422</v>
      </c>
      <c r="AB53" s="415">
        <f>'Données RW'!AB43</f>
        <v>3.8800814326977875</v>
      </c>
      <c r="AC53" s="415">
        <f>'Données RW'!AC43</f>
        <v>3.661620502898496</v>
      </c>
      <c r="AD53" s="415">
        <f>'Données RW'!AD43</f>
        <v>1.8587305753806058</v>
      </c>
      <c r="AE53" s="415">
        <f>'Données RW'!AE43</f>
        <v>0.2746883227590502</v>
      </c>
      <c r="AF53" s="416">
        <f>'Données RW'!AF43</f>
        <v>1.750908070768538</v>
      </c>
    </row>
    <row r="54" spans="1:32" ht="12.75">
      <c r="A54" s="424"/>
      <c r="B54" s="146" t="s">
        <v>36</v>
      </c>
      <c r="C54" s="252">
        <f>'Données RW'!C44</f>
        <v>17257</v>
      </c>
      <c r="D54" s="142">
        <f>'Données RW'!D44</f>
        <v>17257</v>
      </c>
      <c r="E54" s="142">
        <f>'Données RW'!E44</f>
        <v>17257</v>
      </c>
      <c r="F54" s="142">
        <f>'Données RW'!F44</f>
        <v>17257</v>
      </c>
      <c r="G54" s="142">
        <f>'Données RW'!G44</f>
        <v>17257</v>
      </c>
      <c r="H54" s="253">
        <f>'Données RW'!H44</f>
        <v>17257</v>
      </c>
      <c r="I54" s="242">
        <f>'Données RW'!I44</f>
        <v>17257</v>
      </c>
      <c r="J54" s="153">
        <f>'Données RW'!J44</f>
        <v>17257</v>
      </c>
      <c r="K54" s="153">
        <f>'Données RW'!K44</f>
        <v>17257</v>
      </c>
      <c r="L54" s="153">
        <f>'Données RW'!L44</f>
        <v>17257</v>
      </c>
      <c r="M54" s="153">
        <f>'Données RW'!M44</f>
        <v>17257</v>
      </c>
      <c r="N54" s="265">
        <f>'Données RW'!N44</f>
        <v>17257</v>
      </c>
      <c r="O54" s="276">
        <f>'Données RW'!O44</f>
        <v>17257</v>
      </c>
      <c r="P54" s="160">
        <f>'Données RW'!P44</f>
        <v>17257</v>
      </c>
      <c r="Q54" s="160">
        <f>'Données RW'!Q44</f>
        <v>17257</v>
      </c>
      <c r="R54" s="160">
        <f>'Données RW'!R44</f>
        <v>17257</v>
      </c>
      <c r="S54" s="160">
        <f>'Données RW'!S44</f>
        <v>17257</v>
      </c>
      <c r="T54" s="286">
        <f>'Données RW'!T44</f>
        <v>17257</v>
      </c>
      <c r="U54" s="300">
        <f>'Données RW'!U44</f>
        <v>17257</v>
      </c>
      <c r="V54" s="186">
        <f>'Données RW'!V44</f>
        <v>17257</v>
      </c>
      <c r="W54" s="186">
        <f>'Données RW'!W44</f>
        <v>17257</v>
      </c>
      <c r="X54" s="186">
        <f>'Données RW'!X44</f>
        <v>17257</v>
      </c>
      <c r="Y54" s="186">
        <f>'Données RW'!Y44</f>
        <v>17257</v>
      </c>
      <c r="Z54" s="301">
        <f>'Données RW'!Z44</f>
        <v>17257</v>
      </c>
      <c r="AA54" s="318">
        <f>'Données RW'!AA44</f>
        <v>17257</v>
      </c>
      <c r="AB54" s="202">
        <f>'Données RW'!AB44</f>
        <v>17257</v>
      </c>
      <c r="AC54" s="202">
        <f>'Données RW'!AC44</f>
        <v>17257</v>
      </c>
      <c r="AD54" s="202">
        <f>'Données RW'!AD44</f>
        <v>17257</v>
      </c>
      <c r="AE54" s="202">
        <f>'Données RW'!AE44</f>
        <v>17257</v>
      </c>
      <c r="AF54" s="319">
        <f>'Données RW'!AF44</f>
        <v>17257</v>
      </c>
    </row>
    <row r="55" spans="1:32" ht="12.75">
      <c r="A55" s="424"/>
      <c r="B55" s="146" t="s">
        <v>7</v>
      </c>
      <c r="C55" s="252">
        <f aca="true" t="shared" si="25" ref="C55:AF55">C53*C54</f>
        <v>38134.7528203119</v>
      </c>
      <c r="D55" s="142">
        <f t="shared" si="25"/>
        <v>66958.56528406571</v>
      </c>
      <c r="E55" s="142">
        <f t="shared" si="25"/>
        <v>63188.58501851934</v>
      </c>
      <c r="F55" s="142">
        <f t="shared" si="25"/>
        <v>32076.113539343114</v>
      </c>
      <c r="G55" s="142">
        <f t="shared" si="25"/>
        <v>4740.296385852929</v>
      </c>
      <c r="H55" s="253">
        <f t="shared" si="25"/>
        <v>30215.420577252662</v>
      </c>
      <c r="I55" s="242">
        <f t="shared" si="25"/>
        <v>38134.7528203119</v>
      </c>
      <c r="J55" s="153">
        <f t="shared" si="25"/>
        <v>66958.56528406571</v>
      </c>
      <c r="K55" s="153">
        <f t="shared" si="25"/>
        <v>63188.58501851934</v>
      </c>
      <c r="L55" s="153">
        <f t="shared" si="25"/>
        <v>32076.113539343114</v>
      </c>
      <c r="M55" s="153">
        <f t="shared" si="25"/>
        <v>4740.296385852929</v>
      </c>
      <c r="N55" s="265">
        <f t="shared" si="25"/>
        <v>30215.420577252662</v>
      </c>
      <c r="O55" s="276">
        <f t="shared" si="25"/>
        <v>38134.7528203119</v>
      </c>
      <c r="P55" s="160">
        <f t="shared" si="25"/>
        <v>66958.56528406571</v>
      </c>
      <c r="Q55" s="160">
        <f t="shared" si="25"/>
        <v>63188.58501851934</v>
      </c>
      <c r="R55" s="160">
        <f t="shared" si="25"/>
        <v>32076.113539343114</v>
      </c>
      <c r="S55" s="160">
        <f t="shared" si="25"/>
        <v>4740.296385852929</v>
      </c>
      <c r="T55" s="286">
        <f t="shared" si="25"/>
        <v>30215.420577252662</v>
      </c>
      <c r="U55" s="300">
        <f t="shared" si="25"/>
        <v>38134.7528203119</v>
      </c>
      <c r="V55" s="186">
        <f t="shared" si="25"/>
        <v>66958.56528406571</v>
      </c>
      <c r="W55" s="186">
        <f t="shared" si="25"/>
        <v>63188.58501851934</v>
      </c>
      <c r="X55" s="186">
        <f t="shared" si="25"/>
        <v>32076.113539343114</v>
      </c>
      <c r="Y55" s="186">
        <f t="shared" si="25"/>
        <v>4740.296385852929</v>
      </c>
      <c r="Z55" s="301">
        <f t="shared" si="25"/>
        <v>30215.420577252662</v>
      </c>
      <c r="AA55" s="318">
        <f t="shared" si="25"/>
        <v>38134.7528203119</v>
      </c>
      <c r="AB55" s="202">
        <f t="shared" si="25"/>
        <v>66958.56528406571</v>
      </c>
      <c r="AC55" s="202">
        <f t="shared" si="25"/>
        <v>63188.58501851934</v>
      </c>
      <c r="AD55" s="202">
        <f t="shared" si="25"/>
        <v>32076.113539343114</v>
      </c>
      <c r="AE55" s="202">
        <f t="shared" si="25"/>
        <v>4740.296385852929</v>
      </c>
      <c r="AF55" s="319">
        <f t="shared" si="25"/>
        <v>30215.420577252662</v>
      </c>
    </row>
    <row r="56" spans="1:32" ht="12.75">
      <c r="A56" s="424"/>
      <c r="B56" s="146" t="s">
        <v>133</v>
      </c>
      <c r="C56" s="252">
        <f aca="true" t="shared" si="26" ref="C56:AF56">C55/C9</f>
        <v>5126.775806504387</v>
      </c>
      <c r="D56" s="142">
        <f t="shared" si="26"/>
        <v>8972.07092108612</v>
      </c>
      <c r="E56" s="142">
        <f t="shared" si="26"/>
        <v>8525.173370010705</v>
      </c>
      <c r="F56" s="142">
        <f t="shared" si="26"/>
        <v>4101.804800427509</v>
      </c>
      <c r="G56" s="142">
        <f t="shared" si="26"/>
        <v>749.5724835314561</v>
      </c>
      <c r="H56" s="580">
        <f t="shared" si="26"/>
        <v>4167.35681363391</v>
      </c>
      <c r="I56" s="581">
        <f t="shared" si="26"/>
        <v>1949.8049323615978</v>
      </c>
      <c r="J56" s="153">
        <f t="shared" si="26"/>
        <v>3242.262915778078</v>
      </c>
      <c r="K56" s="153">
        <f t="shared" si="26"/>
        <v>3315.5937148976464</v>
      </c>
      <c r="L56" s="153">
        <f t="shared" si="26"/>
        <v>1618.1750716029903</v>
      </c>
      <c r="M56" s="153">
        <f t="shared" si="26"/>
        <v>267.8799467581166</v>
      </c>
      <c r="N56" s="582">
        <f t="shared" si="26"/>
        <v>1573.2118054197424</v>
      </c>
      <c r="O56" s="160">
        <f t="shared" si="26"/>
        <v>3609.7640249079495</v>
      </c>
      <c r="P56" s="160">
        <f t="shared" si="26"/>
        <v>6519.338908130043</v>
      </c>
      <c r="Q56" s="160">
        <f t="shared" si="26"/>
        <v>5804.775935456074</v>
      </c>
      <c r="R56" s="160">
        <f t="shared" si="26"/>
        <v>3117.7939459396807</v>
      </c>
      <c r="S56" s="160">
        <f t="shared" si="26"/>
        <v>467.84473123832237</v>
      </c>
      <c r="T56" s="286">
        <f t="shared" si="26"/>
        <v>2979.5718092205852</v>
      </c>
      <c r="U56" s="300">
        <f t="shared" si="26"/>
        <v>11628.930814598207</v>
      </c>
      <c r="V56" s="186">
        <f t="shared" si="26"/>
        <v>14891.263267889628</v>
      </c>
      <c r="W56" s="186">
        <f t="shared" si="26"/>
        <v>19614.646909364998</v>
      </c>
      <c r="X56" s="186">
        <f t="shared" si="26"/>
        <v>9801.715367255345</v>
      </c>
      <c r="Y56" s="186">
        <f t="shared" si="26"/>
        <v>1602.5342751362168</v>
      </c>
      <c r="Z56" s="301">
        <f t="shared" si="26"/>
        <v>9379.301746780278</v>
      </c>
      <c r="AA56" s="583">
        <f t="shared" si="26"/>
        <v>11628.930814598207</v>
      </c>
      <c r="AB56" s="202">
        <f t="shared" si="26"/>
        <v>14891.263267889628</v>
      </c>
      <c r="AC56" s="202">
        <f t="shared" si="26"/>
        <v>19614.646909364998</v>
      </c>
      <c r="AD56" s="202">
        <f t="shared" si="26"/>
        <v>9801.715367255345</v>
      </c>
      <c r="AE56" s="202">
        <f t="shared" si="26"/>
        <v>1602.5342751362168</v>
      </c>
      <c r="AF56" s="319">
        <f t="shared" si="26"/>
        <v>9379.301746780278</v>
      </c>
    </row>
    <row r="57" spans="1:32" ht="12.75">
      <c r="A57" s="424"/>
      <c r="B57" s="146" t="s">
        <v>40</v>
      </c>
      <c r="C57" s="54">
        <f aca="true" t="shared" si="27" ref="C57:AF57">C55/C83</f>
        <v>0.31488386436673893</v>
      </c>
      <c r="D57" s="140">
        <f t="shared" si="27"/>
        <v>0.5510598609402303</v>
      </c>
      <c r="E57" s="140">
        <f t="shared" si="27"/>
        <v>0.5236116492044791</v>
      </c>
      <c r="F57" s="140">
        <f t="shared" si="27"/>
        <v>0.2519306861045103</v>
      </c>
      <c r="G57" s="140">
        <f t="shared" si="27"/>
        <v>0.04603834634974822</v>
      </c>
      <c r="H57" s="584">
        <f t="shared" si="27"/>
        <v>0.2559568561604085</v>
      </c>
      <c r="I57" s="585">
        <f t="shared" si="27"/>
        <v>0.14623547721653818</v>
      </c>
      <c r="J57" s="151">
        <f t="shared" si="27"/>
        <v>0.24316989709120404</v>
      </c>
      <c r="K57" s="151">
        <f t="shared" si="27"/>
        <v>0.2486697110602516</v>
      </c>
      <c r="L57" s="151">
        <f t="shared" si="27"/>
        <v>0.12136321941147109</v>
      </c>
      <c r="M57" s="151">
        <f t="shared" si="27"/>
        <v>0.02009101074714543</v>
      </c>
      <c r="N57" s="586">
        <f t="shared" si="27"/>
        <v>0.11799097197359146</v>
      </c>
      <c r="O57" s="158">
        <f t="shared" si="27"/>
        <v>0.19664156845463376</v>
      </c>
      <c r="P57" s="158">
        <f t="shared" si="27"/>
        <v>0.3551403968060494</v>
      </c>
      <c r="Q57" s="158">
        <f t="shared" si="27"/>
        <v>0.3162146435610577</v>
      </c>
      <c r="R57" s="158">
        <f t="shared" si="27"/>
        <v>0.16984154294229095</v>
      </c>
      <c r="S57" s="158">
        <f t="shared" si="27"/>
        <v>0.025485799378890506</v>
      </c>
      <c r="T57" s="283">
        <f t="shared" si="27"/>
        <v>0.16231190455816225</v>
      </c>
      <c r="U57" s="174">
        <f t="shared" si="27"/>
        <v>0.4470845855426745</v>
      </c>
      <c r="V57" s="184">
        <f t="shared" si="27"/>
        <v>0.5725078575558897</v>
      </c>
      <c r="W57" s="184">
        <f t="shared" si="27"/>
        <v>0.7541025416567796</v>
      </c>
      <c r="X57" s="184">
        <f t="shared" si="27"/>
        <v>0.37683566292057513</v>
      </c>
      <c r="Y57" s="184">
        <f t="shared" si="27"/>
        <v>0.06161085517146579</v>
      </c>
      <c r="Z57" s="296">
        <f t="shared" si="27"/>
        <v>0.36059559567375654</v>
      </c>
      <c r="AA57" s="587">
        <f t="shared" si="27"/>
        <v>0.4768639554220977</v>
      </c>
      <c r="AB57" s="195">
        <f t="shared" si="27"/>
        <v>0.6106414094615964</v>
      </c>
      <c r="AC57" s="195">
        <f t="shared" si="27"/>
        <v>0.8043317359551073</v>
      </c>
      <c r="AD57" s="195">
        <f t="shared" si="27"/>
        <v>0.40193589887759923</v>
      </c>
      <c r="AE57" s="195">
        <f t="shared" si="27"/>
        <v>0.06571462547370434</v>
      </c>
      <c r="AF57" s="313">
        <f t="shared" si="27"/>
        <v>0.384614114691641</v>
      </c>
    </row>
    <row r="58" spans="1:32" ht="12.75">
      <c r="A58" s="424"/>
      <c r="B58" s="146" t="s">
        <v>13</v>
      </c>
      <c r="C58" s="54">
        <f>'Données RW'!C45</f>
        <v>272.55</v>
      </c>
      <c r="D58" s="140">
        <f>'Données RW'!D45</f>
        <v>272.55</v>
      </c>
      <c r="E58" s="140">
        <f>'Données RW'!E45</f>
        <v>272.55</v>
      </c>
      <c r="F58" s="140">
        <f>'Données RW'!F45</f>
        <v>272.55</v>
      </c>
      <c r="G58" s="140">
        <f>'Données RW'!G45</f>
        <v>272.55</v>
      </c>
      <c r="H58" s="247">
        <f>'Données RW'!H45</f>
        <v>272.55</v>
      </c>
      <c r="I58" s="81">
        <f>'Données RW'!I45</f>
        <v>272.55</v>
      </c>
      <c r="J58" s="151">
        <f>'Données RW'!J45</f>
        <v>272.55</v>
      </c>
      <c r="K58" s="151">
        <f>'Données RW'!K45</f>
        <v>272.55</v>
      </c>
      <c r="L58" s="151">
        <f>'Données RW'!L45</f>
        <v>272.55</v>
      </c>
      <c r="M58" s="151">
        <f>'Données RW'!M45</f>
        <v>272.55</v>
      </c>
      <c r="N58" s="262">
        <f>'Données RW'!N45</f>
        <v>272.55</v>
      </c>
      <c r="O58" s="273">
        <f>'Données RW'!O45</f>
        <v>272.55</v>
      </c>
      <c r="P58" s="158">
        <f>'Données RW'!P45</f>
        <v>272.55</v>
      </c>
      <c r="Q58" s="158">
        <f>'Données RW'!Q45</f>
        <v>272.55</v>
      </c>
      <c r="R58" s="158">
        <f>'Données RW'!R45</f>
        <v>272.55</v>
      </c>
      <c r="S58" s="158">
        <f>'Données RW'!S45</f>
        <v>272.55</v>
      </c>
      <c r="T58" s="283">
        <f>'Données RW'!T45</f>
        <v>272.55</v>
      </c>
      <c r="U58" s="174">
        <f>'Données RW'!U45</f>
        <v>272.55</v>
      </c>
      <c r="V58" s="184">
        <f>'Données RW'!V45</f>
        <v>272.55</v>
      </c>
      <c r="W58" s="184">
        <f>'Données RW'!W45</f>
        <v>272.55</v>
      </c>
      <c r="X58" s="184">
        <f>'Données RW'!X45</f>
        <v>272.55</v>
      </c>
      <c r="Y58" s="184">
        <f>'Données RW'!Y45</f>
        <v>272.55</v>
      </c>
      <c r="Z58" s="296">
        <f>'Données RW'!Z45</f>
        <v>272.55</v>
      </c>
      <c r="AA58" s="312">
        <f>'Données RW'!AA45</f>
        <v>272.55</v>
      </c>
      <c r="AB58" s="195">
        <f>'Données RW'!AB45</f>
        <v>272.55</v>
      </c>
      <c r="AC58" s="195">
        <f>'Données RW'!AC45</f>
        <v>272.55</v>
      </c>
      <c r="AD58" s="195">
        <f>'Données RW'!AD45</f>
        <v>272.55</v>
      </c>
      <c r="AE58" s="195">
        <f>'Données RW'!AE45</f>
        <v>272.55</v>
      </c>
      <c r="AF58" s="313">
        <f>'Données RW'!AF45</f>
        <v>272.55</v>
      </c>
    </row>
    <row r="59" spans="1:32" ht="12.75">
      <c r="A59" s="424"/>
      <c r="B59" s="146" t="s">
        <v>8</v>
      </c>
      <c r="C59" s="54">
        <f aca="true" t="shared" si="28" ref="C59:AF59">C53*C58</f>
        <v>602.2846891798115</v>
      </c>
      <c r="D59" s="140">
        <f t="shared" si="28"/>
        <v>1057.5161944817821</v>
      </c>
      <c r="E59" s="140">
        <f t="shared" si="28"/>
        <v>997.974668064985</v>
      </c>
      <c r="F59" s="140">
        <f t="shared" si="28"/>
        <v>506.59701831998416</v>
      </c>
      <c r="G59" s="140">
        <f t="shared" si="28"/>
        <v>74.86630236797913</v>
      </c>
      <c r="H59" s="247">
        <f t="shared" si="28"/>
        <v>477.2099946879651</v>
      </c>
      <c r="I59" s="81">
        <f t="shared" si="28"/>
        <v>602.2846891798115</v>
      </c>
      <c r="J59" s="151">
        <f t="shared" si="28"/>
        <v>1057.5161944817821</v>
      </c>
      <c r="K59" s="151">
        <f t="shared" si="28"/>
        <v>997.974668064985</v>
      </c>
      <c r="L59" s="151">
        <f t="shared" si="28"/>
        <v>506.59701831998416</v>
      </c>
      <c r="M59" s="151">
        <f t="shared" si="28"/>
        <v>74.86630236797913</v>
      </c>
      <c r="N59" s="262">
        <f t="shared" si="28"/>
        <v>477.2099946879651</v>
      </c>
      <c r="O59" s="273">
        <f t="shared" si="28"/>
        <v>602.2846891798115</v>
      </c>
      <c r="P59" s="158">
        <f t="shared" si="28"/>
        <v>1057.5161944817821</v>
      </c>
      <c r="Q59" s="158">
        <f t="shared" si="28"/>
        <v>997.974668064985</v>
      </c>
      <c r="R59" s="158">
        <f t="shared" si="28"/>
        <v>506.59701831998416</v>
      </c>
      <c r="S59" s="158">
        <f t="shared" si="28"/>
        <v>74.86630236797913</v>
      </c>
      <c r="T59" s="283">
        <f t="shared" si="28"/>
        <v>477.2099946879651</v>
      </c>
      <c r="U59" s="174">
        <f t="shared" si="28"/>
        <v>602.2846891798115</v>
      </c>
      <c r="V59" s="184">
        <f t="shared" si="28"/>
        <v>1057.5161944817821</v>
      </c>
      <c r="W59" s="184">
        <f t="shared" si="28"/>
        <v>997.974668064985</v>
      </c>
      <c r="X59" s="184">
        <f t="shared" si="28"/>
        <v>506.59701831998416</v>
      </c>
      <c r="Y59" s="184">
        <f t="shared" si="28"/>
        <v>74.86630236797913</v>
      </c>
      <c r="Z59" s="296">
        <f t="shared" si="28"/>
        <v>477.2099946879651</v>
      </c>
      <c r="AA59" s="312">
        <f t="shared" si="28"/>
        <v>602.2846891798115</v>
      </c>
      <c r="AB59" s="195">
        <f t="shared" si="28"/>
        <v>1057.5161944817821</v>
      </c>
      <c r="AC59" s="195">
        <f t="shared" si="28"/>
        <v>997.974668064985</v>
      </c>
      <c r="AD59" s="195">
        <f t="shared" si="28"/>
        <v>506.59701831998416</v>
      </c>
      <c r="AE59" s="195">
        <f t="shared" si="28"/>
        <v>74.86630236797913</v>
      </c>
      <c r="AF59" s="313">
        <f t="shared" si="28"/>
        <v>477.2099946879651</v>
      </c>
    </row>
    <row r="60" spans="1:32" ht="13.5" thickBot="1">
      <c r="A60" s="425"/>
      <c r="B60" s="238" t="s">
        <v>100</v>
      </c>
      <c r="C60" s="350">
        <f aca="true" t="shared" si="29" ref="C60:AF60">C59/C10</f>
        <v>0.004762952957070347</v>
      </c>
      <c r="D60" s="351">
        <f t="shared" si="29"/>
        <v>0.008335365800551602</v>
      </c>
      <c r="E60" s="351">
        <f t="shared" si="29"/>
        <v>0.007920182439168479</v>
      </c>
      <c r="F60" s="351">
        <f t="shared" si="29"/>
        <v>0.003810719259214564</v>
      </c>
      <c r="G60" s="351">
        <f t="shared" si="29"/>
        <v>0.0006963788961563709</v>
      </c>
      <c r="H60" s="352">
        <f t="shared" si="29"/>
        <v>0.00387161935840502</v>
      </c>
      <c r="I60" s="353">
        <f t="shared" si="29"/>
        <v>0.0018114365673099525</v>
      </c>
      <c r="J60" s="354">
        <f t="shared" si="29"/>
        <v>0.003012174966323352</v>
      </c>
      <c r="K60" s="354">
        <f t="shared" si="29"/>
        <v>0.003080301828057339</v>
      </c>
      <c r="L60" s="354">
        <f t="shared" si="29"/>
        <v>0.001503340897522898</v>
      </c>
      <c r="M60" s="354">
        <f t="shared" si="29"/>
        <v>0.00024886978340903326</v>
      </c>
      <c r="N60" s="355">
        <f t="shared" si="29"/>
        <v>0.0014615684600866171</v>
      </c>
      <c r="O60" s="356">
        <f t="shared" si="29"/>
        <v>0.0026640718055863056</v>
      </c>
      <c r="P60" s="357">
        <f t="shared" si="29"/>
        <v>0.004811391231218765</v>
      </c>
      <c r="Q60" s="357">
        <f t="shared" si="29"/>
        <v>0.004284030701366621</v>
      </c>
      <c r="R60" s="357">
        <f t="shared" si="29"/>
        <v>0.0023009888983580823</v>
      </c>
      <c r="S60" s="357">
        <f t="shared" si="29"/>
        <v>0.0003452779598012367</v>
      </c>
      <c r="T60" s="358">
        <f t="shared" si="29"/>
        <v>0.0021989784359565607</v>
      </c>
      <c r="U60" s="359">
        <f t="shared" si="29"/>
        <v>0.006930663287894638</v>
      </c>
      <c r="V60" s="360">
        <f t="shared" si="29"/>
        <v>0.008874963080146464</v>
      </c>
      <c r="W60" s="360">
        <f t="shared" si="29"/>
        <v>0.011690026831108034</v>
      </c>
      <c r="X60" s="360">
        <f t="shared" si="29"/>
        <v>0.005841671082001057</v>
      </c>
      <c r="Y60" s="360">
        <f t="shared" si="29"/>
        <v>0.0009550856949236371</v>
      </c>
      <c r="Z60" s="361">
        <f t="shared" si="29"/>
        <v>0.005589919083609418</v>
      </c>
      <c r="AA60" s="362">
        <f t="shared" si="29"/>
        <v>0.006930663287894638</v>
      </c>
      <c r="AB60" s="363">
        <f t="shared" si="29"/>
        <v>0.008874963080146464</v>
      </c>
      <c r="AC60" s="363">
        <f t="shared" si="29"/>
        <v>0.011690026831108034</v>
      </c>
      <c r="AD60" s="363">
        <f t="shared" si="29"/>
        <v>0.005841671082001057</v>
      </c>
      <c r="AE60" s="363">
        <f t="shared" si="29"/>
        <v>0.0009550856949236371</v>
      </c>
      <c r="AF60" s="364">
        <f t="shared" si="29"/>
        <v>0.005589919083609418</v>
      </c>
    </row>
    <row r="61" spans="1:32" ht="13.5" thickBot="1">
      <c r="A61" s="424"/>
      <c r="B61" s="146"/>
      <c r="C61" s="56"/>
      <c r="D61" s="57"/>
      <c r="E61" s="57"/>
      <c r="F61" s="57"/>
      <c r="G61" s="57"/>
      <c r="H61" s="58"/>
      <c r="I61" s="77"/>
      <c r="J61" s="78"/>
      <c r="K61" s="78"/>
      <c r="L61" s="78"/>
      <c r="M61" s="78"/>
      <c r="N61" s="365"/>
      <c r="O61" s="366"/>
      <c r="P61" s="101"/>
      <c r="Q61" s="101"/>
      <c r="R61" s="101"/>
      <c r="S61" s="101"/>
      <c r="T61" s="124"/>
      <c r="U61" s="169"/>
      <c r="V61" s="178"/>
      <c r="W61" s="178"/>
      <c r="X61" s="178"/>
      <c r="Y61" s="178"/>
      <c r="Z61" s="367"/>
      <c r="AA61" s="384"/>
      <c r="AB61" s="211"/>
      <c r="AC61" s="211"/>
      <c r="AD61" s="211"/>
      <c r="AE61" s="211"/>
      <c r="AF61" s="385"/>
    </row>
    <row r="62" spans="1:32" ht="12.75">
      <c r="A62" s="423" t="s">
        <v>47</v>
      </c>
      <c r="B62" s="237" t="s">
        <v>49</v>
      </c>
      <c r="C62" s="48">
        <f>'Données RW'!C48</f>
        <v>166.27</v>
      </c>
      <c r="D62" s="49">
        <f>'Données RW'!D48</f>
        <v>183.13</v>
      </c>
      <c r="E62" s="49">
        <f>'Données RW'!E48</f>
        <v>152.93</v>
      </c>
      <c r="F62" s="49">
        <f>'Données RW'!F48</f>
        <v>184.36</v>
      </c>
      <c r="G62" s="49">
        <f>'Données RW'!G48</f>
        <v>162.1</v>
      </c>
      <c r="H62" s="50">
        <f>'Données RW'!H48</f>
        <v>164.72</v>
      </c>
      <c r="I62" s="79">
        <f>'Données RW'!I48</f>
        <v>5.41</v>
      </c>
      <c r="J62" s="80">
        <f>'Données RW'!J48</f>
        <v>4.27</v>
      </c>
      <c r="K62" s="80">
        <f>'Données RW'!K48</f>
        <v>5.26</v>
      </c>
      <c r="L62" s="80">
        <f>'Données RW'!L48</f>
        <v>5.56</v>
      </c>
      <c r="M62" s="80">
        <f>'Données RW'!M48</f>
        <v>5.26</v>
      </c>
      <c r="N62" s="386">
        <f>'Données RW'!N48</f>
        <v>5.68</v>
      </c>
      <c r="O62" s="387">
        <f>'Données RW'!O48</f>
        <v>24.27</v>
      </c>
      <c r="P62" s="104">
        <f>'Données RW'!P48</f>
        <v>23.88</v>
      </c>
      <c r="Q62" s="104">
        <f>'Données RW'!Q48</f>
        <v>24.78</v>
      </c>
      <c r="R62" s="104">
        <f>'Données RW'!R48</f>
        <v>24.18</v>
      </c>
      <c r="S62" s="104">
        <f>'Données RW'!S48</f>
        <v>24.5</v>
      </c>
      <c r="T62" s="125">
        <f>'Données RW'!T48</f>
        <v>23.3</v>
      </c>
      <c r="U62" s="176">
        <f>'Données RW'!U48</f>
        <v>3.3</v>
      </c>
      <c r="V62" s="171">
        <f>'Données RW'!V48</f>
        <v>3.3</v>
      </c>
      <c r="W62" s="171">
        <f>'Données RW'!W48</f>
        <v>3.3</v>
      </c>
      <c r="X62" s="171">
        <f>'Données RW'!X48</f>
        <v>3.3</v>
      </c>
      <c r="Y62" s="171">
        <f>'Données RW'!Y48</f>
        <v>3.3</v>
      </c>
      <c r="Z62" s="388">
        <f>'Données RW'!Z48</f>
        <v>3.3</v>
      </c>
      <c r="AA62" s="389">
        <f>'Données RW'!AA48</f>
        <v>3.3</v>
      </c>
      <c r="AB62" s="191">
        <f>'Données RW'!AB48</f>
        <v>3.3</v>
      </c>
      <c r="AC62" s="191">
        <f>'Données RW'!AC48</f>
        <v>3.3</v>
      </c>
      <c r="AD62" s="191">
        <f>'Données RW'!AD48</f>
        <v>3.3</v>
      </c>
      <c r="AE62" s="191">
        <f>'Données RW'!AE48</f>
        <v>3.3</v>
      </c>
      <c r="AF62" s="192">
        <f>'Données RW'!AF48</f>
        <v>3.3</v>
      </c>
    </row>
    <row r="63" spans="1:32" ht="12.75">
      <c r="A63" s="424"/>
      <c r="B63" s="146" t="s">
        <v>48</v>
      </c>
      <c r="C63" s="252">
        <f>'Données RW'!C49</f>
        <v>154.55</v>
      </c>
      <c r="D63" s="142">
        <f>'Données RW'!D49</f>
        <v>154.55</v>
      </c>
      <c r="E63" s="142">
        <f>'Données RW'!E49</f>
        <v>154.55</v>
      </c>
      <c r="F63" s="142">
        <f>'Données RW'!F49</f>
        <v>154.55</v>
      </c>
      <c r="G63" s="142">
        <f>'Données RW'!G49</f>
        <v>154.55</v>
      </c>
      <c r="H63" s="253">
        <f>'Données RW'!H49</f>
        <v>154.55</v>
      </c>
      <c r="I63" s="242">
        <f>'Données RW'!I49</f>
        <v>154.55</v>
      </c>
      <c r="J63" s="153">
        <f>'Données RW'!J49</f>
        <v>154.55</v>
      </c>
      <c r="K63" s="153">
        <f>'Données RW'!K49</f>
        <v>154.55</v>
      </c>
      <c r="L63" s="153">
        <f>'Données RW'!L49</f>
        <v>154.55</v>
      </c>
      <c r="M63" s="153">
        <f>'Données RW'!M49</f>
        <v>154.55</v>
      </c>
      <c r="N63" s="265">
        <f>'Données RW'!N49</f>
        <v>154.55</v>
      </c>
      <c r="O63" s="276">
        <f>'Données RW'!O49</f>
        <v>154.55</v>
      </c>
      <c r="P63" s="160">
        <f>'Données RW'!P49</f>
        <v>154.55</v>
      </c>
      <c r="Q63" s="160">
        <f>'Données RW'!Q49</f>
        <v>154.55</v>
      </c>
      <c r="R63" s="160">
        <f>'Données RW'!R49</f>
        <v>154.55</v>
      </c>
      <c r="S63" s="160">
        <f>'Données RW'!S49</f>
        <v>154.55</v>
      </c>
      <c r="T63" s="286">
        <f>'Données RW'!T49</f>
        <v>154.55</v>
      </c>
      <c r="U63" s="300">
        <f>'Données RW'!U49</f>
        <v>154.55</v>
      </c>
      <c r="V63" s="186">
        <f>'Données RW'!V49</f>
        <v>154.55</v>
      </c>
      <c r="W63" s="186">
        <f>'Données RW'!W49</f>
        <v>154.55</v>
      </c>
      <c r="X63" s="186">
        <f>'Données RW'!X49</f>
        <v>154.55</v>
      </c>
      <c r="Y63" s="186">
        <f>'Données RW'!Y49</f>
        <v>154.55</v>
      </c>
      <c r="Z63" s="301">
        <f>'Données RW'!Z49</f>
        <v>154.55</v>
      </c>
      <c r="AA63" s="318">
        <f>'Données RW'!AA49</f>
        <v>154.55</v>
      </c>
      <c r="AB63" s="202">
        <f>'Données RW'!AB49</f>
        <v>154.55</v>
      </c>
      <c r="AC63" s="202">
        <f>'Données RW'!AC49</f>
        <v>154.55</v>
      </c>
      <c r="AD63" s="202">
        <f>'Données RW'!AD49</f>
        <v>154.55</v>
      </c>
      <c r="AE63" s="202">
        <f>'Données RW'!AE49</f>
        <v>154.55</v>
      </c>
      <c r="AF63" s="319">
        <f>'Données RW'!AF49</f>
        <v>154.55</v>
      </c>
    </row>
    <row r="64" spans="1:32" ht="12.75">
      <c r="A64" s="424"/>
      <c r="B64" s="146" t="s">
        <v>7</v>
      </c>
      <c r="C64" s="252">
        <f aca="true" t="shared" si="30" ref="C64:AF64">C62*C63</f>
        <v>25697.028500000004</v>
      </c>
      <c r="D64" s="142">
        <f t="shared" si="30"/>
        <v>28302.7415</v>
      </c>
      <c r="E64" s="142">
        <f t="shared" si="30"/>
        <v>23635.331500000004</v>
      </c>
      <c r="F64" s="142">
        <f t="shared" si="30"/>
        <v>28492.838000000003</v>
      </c>
      <c r="G64" s="142">
        <f t="shared" si="30"/>
        <v>25052.555</v>
      </c>
      <c r="H64" s="253">
        <f t="shared" si="30"/>
        <v>25457.476000000002</v>
      </c>
      <c r="I64" s="242">
        <f t="shared" si="30"/>
        <v>836.1155000000001</v>
      </c>
      <c r="J64" s="153">
        <f t="shared" si="30"/>
        <v>659.9285</v>
      </c>
      <c r="K64" s="153">
        <f t="shared" si="30"/>
        <v>812.933</v>
      </c>
      <c r="L64" s="153">
        <f t="shared" si="30"/>
        <v>859.298</v>
      </c>
      <c r="M64" s="153">
        <f t="shared" si="30"/>
        <v>812.933</v>
      </c>
      <c r="N64" s="265">
        <f t="shared" si="30"/>
        <v>877.844</v>
      </c>
      <c r="O64" s="276">
        <f t="shared" si="30"/>
        <v>3750.9285</v>
      </c>
      <c r="P64" s="160">
        <f t="shared" si="30"/>
        <v>3690.654</v>
      </c>
      <c r="Q64" s="160">
        <f t="shared" si="30"/>
        <v>3829.7490000000003</v>
      </c>
      <c r="R64" s="160">
        <f t="shared" si="30"/>
        <v>3737.0190000000002</v>
      </c>
      <c r="S64" s="160">
        <f t="shared" si="30"/>
        <v>3786.4750000000004</v>
      </c>
      <c r="T64" s="286">
        <f t="shared" si="30"/>
        <v>3601.0150000000003</v>
      </c>
      <c r="U64" s="300">
        <f t="shared" si="30"/>
        <v>510.015</v>
      </c>
      <c r="V64" s="186">
        <f t="shared" si="30"/>
        <v>510.015</v>
      </c>
      <c r="W64" s="186">
        <f t="shared" si="30"/>
        <v>510.015</v>
      </c>
      <c r="X64" s="186">
        <f t="shared" si="30"/>
        <v>510.015</v>
      </c>
      <c r="Y64" s="186">
        <f t="shared" si="30"/>
        <v>510.015</v>
      </c>
      <c r="Z64" s="301">
        <f t="shared" si="30"/>
        <v>510.015</v>
      </c>
      <c r="AA64" s="318">
        <f t="shared" si="30"/>
        <v>510.015</v>
      </c>
      <c r="AB64" s="202">
        <f t="shared" si="30"/>
        <v>510.015</v>
      </c>
      <c r="AC64" s="202">
        <f t="shared" si="30"/>
        <v>510.015</v>
      </c>
      <c r="AD64" s="202">
        <f t="shared" si="30"/>
        <v>510.015</v>
      </c>
      <c r="AE64" s="202">
        <f t="shared" si="30"/>
        <v>510.015</v>
      </c>
      <c r="AF64" s="319">
        <f t="shared" si="30"/>
        <v>510.015</v>
      </c>
    </row>
    <row r="65" spans="1:32" ht="12.75">
      <c r="A65" s="424"/>
      <c r="B65" s="146" t="s">
        <v>133</v>
      </c>
      <c r="C65" s="252">
        <f aca="true" t="shared" si="31" ref="C65:AF65">C64/C9</f>
        <v>3454.6678362808966</v>
      </c>
      <c r="D65" s="142">
        <f t="shared" si="31"/>
        <v>3792.4080798606465</v>
      </c>
      <c r="E65" s="142">
        <f t="shared" si="31"/>
        <v>3188.7927010253647</v>
      </c>
      <c r="F65" s="142">
        <f t="shared" si="31"/>
        <v>3643.5854219948856</v>
      </c>
      <c r="G65" s="142">
        <f t="shared" si="31"/>
        <v>3961.5045857052496</v>
      </c>
      <c r="H65" s="580">
        <f t="shared" si="31"/>
        <v>3511.1338528377364</v>
      </c>
      <c r="I65" s="581">
        <f t="shared" si="31"/>
        <v>42.75003783571528</v>
      </c>
      <c r="J65" s="153">
        <f t="shared" si="31"/>
        <v>31.955011185465672</v>
      </c>
      <c r="K65" s="153">
        <f t="shared" si="31"/>
        <v>42.65573512435723</v>
      </c>
      <c r="L65" s="153">
        <f t="shared" si="31"/>
        <v>43.349846638146744</v>
      </c>
      <c r="M65" s="153">
        <f t="shared" si="31"/>
        <v>45.939838151856954</v>
      </c>
      <c r="N65" s="582">
        <f t="shared" si="31"/>
        <v>45.706282346325665</v>
      </c>
      <c r="O65" s="160">
        <f t="shared" si="31"/>
        <v>355.0558416649833</v>
      </c>
      <c r="P65" s="160">
        <f t="shared" si="31"/>
        <v>359.33601797724805</v>
      </c>
      <c r="Q65" s="160">
        <f t="shared" si="31"/>
        <v>351.81725983453407</v>
      </c>
      <c r="R65" s="160">
        <f t="shared" si="31"/>
        <v>363.23774698486017</v>
      </c>
      <c r="S65" s="160">
        <f t="shared" si="31"/>
        <v>373.7070922405796</v>
      </c>
      <c r="T65" s="286">
        <f t="shared" si="31"/>
        <v>355.09956749230344</v>
      </c>
      <c r="U65" s="300">
        <f t="shared" si="31"/>
        <v>155.52556948129174</v>
      </c>
      <c r="V65" s="186">
        <f t="shared" si="31"/>
        <v>113.4248860224619</v>
      </c>
      <c r="W65" s="186">
        <f t="shared" si="31"/>
        <v>158.31600186248642</v>
      </c>
      <c r="X65" s="186">
        <f t="shared" si="31"/>
        <v>155.84873949579833</v>
      </c>
      <c r="Y65" s="186">
        <f t="shared" si="31"/>
        <v>172.4188640973631</v>
      </c>
      <c r="Z65" s="301">
        <f t="shared" si="31"/>
        <v>158.31600186248642</v>
      </c>
      <c r="AA65" s="583">
        <f t="shared" si="31"/>
        <v>155.52556948129174</v>
      </c>
      <c r="AB65" s="202">
        <f t="shared" si="31"/>
        <v>113.4248860224619</v>
      </c>
      <c r="AC65" s="202">
        <f t="shared" si="31"/>
        <v>158.31600186248642</v>
      </c>
      <c r="AD65" s="202">
        <f t="shared" si="31"/>
        <v>155.84873949579833</v>
      </c>
      <c r="AE65" s="202">
        <f t="shared" si="31"/>
        <v>172.4188640973631</v>
      </c>
      <c r="AF65" s="319">
        <f t="shared" si="31"/>
        <v>158.31600186248642</v>
      </c>
    </row>
    <row r="66" spans="1:32" ht="12.75">
      <c r="A66" s="424"/>
      <c r="B66" s="146" t="s">
        <v>40</v>
      </c>
      <c r="C66" s="54">
        <f aca="true" t="shared" si="32" ref="C66:AF66">C64/C83</f>
        <v>0.21218387529477753</v>
      </c>
      <c r="D66" s="140">
        <f t="shared" si="32"/>
        <v>0.23292770281218708</v>
      </c>
      <c r="E66" s="140">
        <f t="shared" si="32"/>
        <v>0.19585396480365072</v>
      </c>
      <c r="F66" s="140">
        <f t="shared" si="32"/>
        <v>0.22378709370760216</v>
      </c>
      <c r="G66" s="140">
        <f t="shared" si="32"/>
        <v>0.24331352096005854</v>
      </c>
      <c r="H66" s="584">
        <f t="shared" si="32"/>
        <v>0.2156519882316171</v>
      </c>
      <c r="I66" s="679">
        <f t="shared" si="32"/>
        <v>0.0032062551900302163</v>
      </c>
      <c r="J66" s="680">
        <f t="shared" si="32"/>
        <v>0.002396627597257392</v>
      </c>
      <c r="K66" s="680">
        <f t="shared" si="32"/>
        <v>0.0031991824814892873</v>
      </c>
      <c r="L66" s="680">
        <f t="shared" si="32"/>
        <v>0.0032512408832174864</v>
      </c>
      <c r="M66" s="680">
        <f t="shared" si="32"/>
        <v>0.0034454903892618973</v>
      </c>
      <c r="N66" s="681">
        <f t="shared" si="32"/>
        <v>0.0034279736909954748</v>
      </c>
      <c r="O66" s="158">
        <f t="shared" si="32"/>
        <v>0.019341634830482533</v>
      </c>
      <c r="P66" s="158">
        <f t="shared" si="32"/>
        <v>0.019574797047596595</v>
      </c>
      <c r="Q66" s="158">
        <f t="shared" si="32"/>
        <v>0.01916521337846686</v>
      </c>
      <c r="R66" s="158">
        <f t="shared" si="32"/>
        <v>0.019787343382051615</v>
      </c>
      <c r="S66" s="158">
        <f t="shared" si="32"/>
        <v>0.020357660017037267</v>
      </c>
      <c r="T66" s="283">
        <f t="shared" si="32"/>
        <v>0.01934401679096718</v>
      </c>
      <c r="U66" s="174">
        <f t="shared" si="32"/>
        <v>0.005979318811110683</v>
      </c>
      <c r="V66" s="184">
        <f t="shared" si="32"/>
        <v>0.004360720599861062</v>
      </c>
      <c r="W66" s="184">
        <f t="shared" si="32"/>
        <v>0.006086599465241429</v>
      </c>
      <c r="X66" s="184">
        <f t="shared" si="32"/>
        <v>0.0059917433696792255</v>
      </c>
      <c r="Y66" s="184">
        <f t="shared" si="32"/>
        <v>0.006628796544041672</v>
      </c>
      <c r="Z66" s="296">
        <f t="shared" si="32"/>
        <v>0.006086599465241429</v>
      </c>
      <c r="AA66" s="587">
        <f t="shared" si="32"/>
        <v>0.006377588740920335</v>
      </c>
      <c r="AB66" s="195">
        <f t="shared" si="32"/>
        <v>0.004651179085533204</v>
      </c>
      <c r="AC66" s="195">
        <f t="shared" si="32"/>
        <v>0.00649201513521653</v>
      </c>
      <c r="AD66" s="195">
        <f t="shared" si="32"/>
        <v>0.0063908408733690004</v>
      </c>
      <c r="AE66" s="195">
        <f t="shared" si="32"/>
        <v>0.007070326828296165</v>
      </c>
      <c r="AF66" s="313">
        <f t="shared" si="32"/>
        <v>0.00649201513521653</v>
      </c>
    </row>
    <row r="67" spans="1:32" ht="12.75">
      <c r="A67" s="424"/>
      <c r="B67" s="146" t="s">
        <v>13</v>
      </c>
      <c r="C67" s="254">
        <f>'Données RW'!C50</f>
        <v>2.88</v>
      </c>
      <c r="D67" s="143">
        <f>'Données RW'!D50</f>
        <v>2.88</v>
      </c>
      <c r="E67" s="143">
        <f>'Données RW'!E50</f>
        <v>2.88</v>
      </c>
      <c r="F67" s="143">
        <f>'Données RW'!F50</f>
        <v>2.88</v>
      </c>
      <c r="G67" s="143">
        <f>'Données RW'!G50</f>
        <v>2.88</v>
      </c>
      <c r="H67" s="255">
        <f>'Données RW'!H50</f>
        <v>2.88</v>
      </c>
      <c r="I67" s="83">
        <f>'Données RW'!I50</f>
        <v>2.88</v>
      </c>
      <c r="J67" s="84">
        <f>'Données RW'!J50</f>
        <v>2.88</v>
      </c>
      <c r="K67" s="84">
        <f>'Données RW'!K50</f>
        <v>2.88</v>
      </c>
      <c r="L67" s="84">
        <f>'Données RW'!L50</f>
        <v>2.88</v>
      </c>
      <c r="M67" s="84">
        <f>'Données RW'!M50</f>
        <v>2.88</v>
      </c>
      <c r="N67" s="266">
        <f>'Données RW'!N50</f>
        <v>2.88</v>
      </c>
      <c r="O67" s="277">
        <f>'Données RW'!O50</f>
        <v>2.88</v>
      </c>
      <c r="P67" s="161">
        <f>'Données RW'!P50</f>
        <v>2.88</v>
      </c>
      <c r="Q67" s="161">
        <f>'Données RW'!Q50</f>
        <v>2.88</v>
      </c>
      <c r="R67" s="161">
        <f>'Données RW'!R50</f>
        <v>2.88</v>
      </c>
      <c r="S67" s="161">
        <f>'Données RW'!S50</f>
        <v>2.88</v>
      </c>
      <c r="T67" s="287">
        <f>'Données RW'!T50</f>
        <v>2.88</v>
      </c>
      <c r="U67" s="302">
        <f>'Données RW'!U50</f>
        <v>2.88</v>
      </c>
      <c r="V67" s="187">
        <f>'Données RW'!V50</f>
        <v>2.88</v>
      </c>
      <c r="W67" s="187">
        <f>'Données RW'!W50</f>
        <v>2.88</v>
      </c>
      <c r="X67" s="187">
        <f>'Données RW'!X50</f>
        <v>2.88</v>
      </c>
      <c r="Y67" s="187">
        <f>'Données RW'!Y50</f>
        <v>2.88</v>
      </c>
      <c r="Z67" s="303">
        <f>'Données RW'!Z50</f>
        <v>2.88</v>
      </c>
      <c r="AA67" s="320">
        <f>'Données RW'!AA50</f>
        <v>2.88</v>
      </c>
      <c r="AB67" s="203">
        <f>'Données RW'!AB50</f>
        <v>2.88</v>
      </c>
      <c r="AC67" s="203">
        <f>'Données RW'!AC50</f>
        <v>2.88</v>
      </c>
      <c r="AD67" s="203">
        <f>'Données RW'!AD50</f>
        <v>2.88</v>
      </c>
      <c r="AE67" s="203">
        <f>'Données RW'!AE50</f>
        <v>2.88</v>
      </c>
      <c r="AF67" s="321">
        <f>'Données RW'!AF50</f>
        <v>2.88</v>
      </c>
    </row>
    <row r="68" spans="1:32" ht="12.75">
      <c r="A68" s="424"/>
      <c r="B68" s="146" t="s">
        <v>8</v>
      </c>
      <c r="C68" s="252">
        <f aca="true" t="shared" si="33" ref="C68:AF68">C62*C67</f>
        <v>478.8576</v>
      </c>
      <c r="D68" s="142">
        <f t="shared" si="33"/>
        <v>527.4144</v>
      </c>
      <c r="E68" s="142">
        <f t="shared" si="33"/>
        <v>440.4384</v>
      </c>
      <c r="F68" s="142">
        <f t="shared" si="33"/>
        <v>530.9568</v>
      </c>
      <c r="G68" s="142">
        <f t="shared" si="33"/>
        <v>466.84799999999996</v>
      </c>
      <c r="H68" s="253">
        <f t="shared" si="33"/>
        <v>474.3936</v>
      </c>
      <c r="I68" s="242">
        <f t="shared" si="33"/>
        <v>15.5808</v>
      </c>
      <c r="J68" s="153">
        <f t="shared" si="33"/>
        <v>12.2976</v>
      </c>
      <c r="K68" s="153">
        <f t="shared" si="33"/>
        <v>15.1488</v>
      </c>
      <c r="L68" s="153">
        <f t="shared" si="33"/>
        <v>16.0128</v>
      </c>
      <c r="M68" s="153">
        <f t="shared" si="33"/>
        <v>15.1488</v>
      </c>
      <c r="N68" s="265">
        <f t="shared" si="33"/>
        <v>16.3584</v>
      </c>
      <c r="O68" s="276">
        <f t="shared" si="33"/>
        <v>69.8976</v>
      </c>
      <c r="P68" s="160">
        <f t="shared" si="33"/>
        <v>68.7744</v>
      </c>
      <c r="Q68" s="160">
        <f t="shared" si="33"/>
        <v>71.3664</v>
      </c>
      <c r="R68" s="160">
        <f t="shared" si="33"/>
        <v>69.63839999999999</v>
      </c>
      <c r="S68" s="160">
        <f t="shared" si="33"/>
        <v>70.56</v>
      </c>
      <c r="T68" s="286">
        <f t="shared" si="33"/>
        <v>67.104</v>
      </c>
      <c r="U68" s="300">
        <f t="shared" si="33"/>
        <v>9.504</v>
      </c>
      <c r="V68" s="186">
        <f t="shared" si="33"/>
        <v>9.504</v>
      </c>
      <c r="W68" s="186">
        <f t="shared" si="33"/>
        <v>9.504</v>
      </c>
      <c r="X68" s="186">
        <f t="shared" si="33"/>
        <v>9.504</v>
      </c>
      <c r="Y68" s="186">
        <f t="shared" si="33"/>
        <v>9.504</v>
      </c>
      <c r="Z68" s="301">
        <f t="shared" si="33"/>
        <v>9.504</v>
      </c>
      <c r="AA68" s="318">
        <f t="shared" si="33"/>
        <v>9.504</v>
      </c>
      <c r="AB68" s="202">
        <f t="shared" si="33"/>
        <v>9.504</v>
      </c>
      <c r="AC68" s="202">
        <f t="shared" si="33"/>
        <v>9.504</v>
      </c>
      <c r="AD68" s="202">
        <f t="shared" si="33"/>
        <v>9.504</v>
      </c>
      <c r="AE68" s="202">
        <f t="shared" si="33"/>
        <v>9.504</v>
      </c>
      <c r="AF68" s="319">
        <f t="shared" si="33"/>
        <v>9.504</v>
      </c>
    </row>
    <row r="69" spans="1:32" ht="13.5" thickBot="1">
      <c r="A69" s="425"/>
      <c r="B69" s="238" t="s">
        <v>100</v>
      </c>
      <c r="C69" s="390">
        <f aca="true" t="shared" si="34" ref="C69:AF69">C68/C10</f>
        <v>0.0037868739865221535</v>
      </c>
      <c r="D69" s="391">
        <f t="shared" si="34"/>
        <v>0.004157091849201157</v>
      </c>
      <c r="E69" s="391">
        <f t="shared" si="34"/>
        <v>0.0034954318910510778</v>
      </c>
      <c r="F69" s="391">
        <f t="shared" si="34"/>
        <v>0.003993958176621033</v>
      </c>
      <c r="G69" s="391">
        <f t="shared" si="34"/>
        <v>0.004342448934032815</v>
      </c>
      <c r="H69" s="392">
        <f t="shared" si="34"/>
        <v>0.0038487698617133913</v>
      </c>
      <c r="I69" s="682">
        <f t="shared" si="34"/>
        <v>4.686094694915409E-05</v>
      </c>
      <c r="J69" s="683">
        <f t="shared" si="34"/>
        <v>3.502785400275606E-05</v>
      </c>
      <c r="K69" s="683">
        <f t="shared" si="34"/>
        <v>4.675757594463958E-05</v>
      </c>
      <c r="L69" s="683">
        <f t="shared" si="34"/>
        <v>4.7518434284683276E-05</v>
      </c>
      <c r="M69" s="683">
        <f t="shared" si="34"/>
        <v>5.03574833491343E-05</v>
      </c>
      <c r="N69" s="684">
        <f t="shared" si="34"/>
        <v>5.0101468459633424E-05</v>
      </c>
      <c r="O69" s="393">
        <f t="shared" si="34"/>
        <v>0.00030917642235224723</v>
      </c>
      <c r="P69" s="394">
        <f t="shared" si="34"/>
        <v>0.0003129035250892626</v>
      </c>
      <c r="Q69" s="394">
        <f t="shared" si="34"/>
        <v>0.00030635632188822477</v>
      </c>
      <c r="R69" s="394">
        <f t="shared" si="34"/>
        <v>0.00031630108252671973</v>
      </c>
      <c r="S69" s="394">
        <f t="shared" si="34"/>
        <v>0.00032541760542451227</v>
      </c>
      <c r="T69" s="395">
        <f t="shared" si="34"/>
        <v>0.0003092144980385726</v>
      </c>
      <c r="U69" s="396">
        <f t="shared" si="34"/>
        <v>0.00010936526375566806</v>
      </c>
      <c r="V69" s="397">
        <f t="shared" si="34"/>
        <v>7.976014887889742E-05</v>
      </c>
      <c r="W69" s="397">
        <f t="shared" si="34"/>
        <v>0.00011132749012384362</v>
      </c>
      <c r="X69" s="397">
        <f t="shared" si="34"/>
        <v>0.00010959251625178373</v>
      </c>
      <c r="Y69" s="397">
        <f t="shared" si="34"/>
        <v>0.00012124459412912856</v>
      </c>
      <c r="Z69" s="398">
        <f t="shared" si="34"/>
        <v>0.00011132749012384362</v>
      </c>
      <c r="AA69" s="399">
        <f t="shared" si="34"/>
        <v>0.00010936526375566806</v>
      </c>
      <c r="AB69" s="400">
        <f t="shared" si="34"/>
        <v>7.976014887889742E-05</v>
      </c>
      <c r="AC69" s="400">
        <f t="shared" si="34"/>
        <v>0.00011132749012384362</v>
      </c>
      <c r="AD69" s="400">
        <f t="shared" si="34"/>
        <v>0.00010959251625178373</v>
      </c>
      <c r="AE69" s="400">
        <f t="shared" si="34"/>
        <v>0.00012124459412912856</v>
      </c>
      <c r="AF69" s="401">
        <f t="shared" si="34"/>
        <v>0.00011132749012384362</v>
      </c>
    </row>
    <row r="70" spans="1:32" ht="13.5" thickBot="1">
      <c r="A70" s="424"/>
      <c r="B70" s="146"/>
      <c r="C70" s="45"/>
      <c r="D70" s="46"/>
      <c r="E70" s="46"/>
      <c r="F70" s="46"/>
      <c r="G70" s="46"/>
      <c r="H70" s="47"/>
      <c r="I70" s="77"/>
      <c r="J70" s="78"/>
      <c r="K70" s="78"/>
      <c r="L70" s="78"/>
      <c r="M70" s="78"/>
      <c r="N70" s="365"/>
      <c r="O70" s="366"/>
      <c r="P70" s="101"/>
      <c r="Q70" s="101"/>
      <c r="R70" s="101"/>
      <c r="S70" s="101"/>
      <c r="T70" s="124"/>
      <c r="U70" s="169"/>
      <c r="V70" s="178"/>
      <c r="W70" s="178"/>
      <c r="X70" s="178"/>
      <c r="Y70" s="178"/>
      <c r="Z70" s="367"/>
      <c r="AA70" s="384"/>
      <c r="AB70" s="211"/>
      <c r="AC70" s="211"/>
      <c r="AD70" s="211"/>
      <c r="AE70" s="211"/>
      <c r="AF70" s="385"/>
    </row>
    <row r="71" spans="1:32" ht="12.75">
      <c r="A71" s="423" t="s">
        <v>9</v>
      </c>
      <c r="B71" s="237" t="s">
        <v>101</v>
      </c>
      <c r="C71" s="402">
        <f>'Données RW'!C53</f>
        <v>0.0236</v>
      </c>
      <c r="D71" s="403">
        <f>'Données RW'!D53</f>
        <v>0.0236</v>
      </c>
      <c r="E71" s="403">
        <f>'Données RW'!E53</f>
        <v>0.0236</v>
      </c>
      <c r="F71" s="403">
        <f>'Données RW'!F53</f>
        <v>0.0236</v>
      </c>
      <c r="G71" s="403">
        <f>'Données RW'!G53</f>
        <v>0.0236</v>
      </c>
      <c r="H71" s="404">
        <f>'Données RW'!H53</f>
        <v>0.0236</v>
      </c>
      <c r="I71" s="405">
        <f>'Données RW'!I53</f>
        <v>0.0117</v>
      </c>
      <c r="J71" s="406">
        <f>'Données RW'!J53</f>
        <v>0.0117</v>
      </c>
      <c r="K71" s="406">
        <f>'Données RW'!K53</f>
        <v>0.0117</v>
      </c>
      <c r="L71" s="406">
        <f>'Données RW'!L53</f>
        <v>0.0117</v>
      </c>
      <c r="M71" s="406">
        <f>'Données RW'!M53</f>
        <v>0.0117</v>
      </c>
      <c r="N71" s="407">
        <f>'Données RW'!N53</f>
        <v>0.0117</v>
      </c>
      <c r="O71" s="408">
        <f>'Données RW'!O53</f>
        <v>0.014</v>
      </c>
      <c r="P71" s="409">
        <f>'Données RW'!P53</f>
        <v>0.014</v>
      </c>
      <c r="Q71" s="409">
        <f>'Données RW'!Q53</f>
        <v>0.014</v>
      </c>
      <c r="R71" s="409">
        <f>'Données RW'!R53</f>
        <v>0.014</v>
      </c>
      <c r="S71" s="409">
        <f>'Données RW'!S53</f>
        <v>0.014</v>
      </c>
      <c r="T71" s="410">
        <f>'Données RW'!T53</f>
        <v>0.014</v>
      </c>
      <c r="U71" s="411">
        <f>'Données RW'!U53</f>
        <v>0.0419</v>
      </c>
      <c r="V71" s="412">
        <f>'Données RW'!V53</f>
        <v>0.0419</v>
      </c>
      <c r="W71" s="412">
        <f>'Données RW'!W53</f>
        <v>0.0419</v>
      </c>
      <c r="X71" s="412">
        <f>'Données RW'!X53</f>
        <v>0.0419</v>
      </c>
      <c r="Y71" s="412">
        <f>'Données RW'!Y53</f>
        <v>0.0419</v>
      </c>
      <c r="Z71" s="413">
        <f>'Données RW'!Z53</f>
        <v>0.0419</v>
      </c>
      <c r="AA71" s="414">
        <f>'Données RW'!AA53</f>
        <v>0.0419</v>
      </c>
      <c r="AB71" s="415">
        <f>'Données RW'!AB53</f>
        <v>0.0419</v>
      </c>
      <c r="AC71" s="415">
        <f>'Données RW'!AC53</f>
        <v>0.0419</v>
      </c>
      <c r="AD71" s="415">
        <f>'Données RW'!AD53</f>
        <v>0.0419</v>
      </c>
      <c r="AE71" s="415">
        <f>'Données RW'!AE53</f>
        <v>0.0419</v>
      </c>
      <c r="AF71" s="416">
        <f>'Données RW'!AF53</f>
        <v>0.0419</v>
      </c>
    </row>
    <row r="72" spans="1:32" ht="12.75">
      <c r="A72" s="424"/>
      <c r="B72" s="146" t="s">
        <v>18</v>
      </c>
      <c r="C72" s="52">
        <f>C71*C10</f>
        <v>2984.2660199999996</v>
      </c>
      <c r="D72" s="52">
        <f aca="true" t="shared" si="35" ref="D72:AF72">D71*D10</f>
        <v>2994.1555999999996</v>
      </c>
      <c r="E72" s="52">
        <f t="shared" si="35"/>
        <v>2973.6944</v>
      </c>
      <c r="F72" s="52">
        <f t="shared" si="35"/>
        <v>3137.384</v>
      </c>
      <c r="G72" s="52">
        <f t="shared" si="35"/>
        <v>2537.1888000000004</v>
      </c>
      <c r="H72" s="53">
        <f t="shared" si="35"/>
        <v>2908.9005999999995</v>
      </c>
      <c r="I72" s="85">
        <f t="shared" si="35"/>
        <v>3890.133936</v>
      </c>
      <c r="J72" s="86">
        <f t="shared" si="35"/>
        <v>4107.6430199999995</v>
      </c>
      <c r="K72" s="86">
        <f t="shared" si="35"/>
        <v>3790.6362</v>
      </c>
      <c r="L72" s="86">
        <f t="shared" si="35"/>
        <v>3942.67536</v>
      </c>
      <c r="M72" s="86">
        <f t="shared" si="35"/>
        <v>3519.654840000001</v>
      </c>
      <c r="N72" s="261">
        <f t="shared" si="35"/>
        <v>3820.113180000001</v>
      </c>
      <c r="O72" s="272">
        <f t="shared" si="35"/>
        <v>3165.0744664</v>
      </c>
      <c r="P72" s="109">
        <f t="shared" si="35"/>
        <v>3077.1196959999997</v>
      </c>
      <c r="Q72" s="109">
        <f t="shared" si="35"/>
        <v>3261.3317519999996</v>
      </c>
      <c r="R72" s="109">
        <f t="shared" si="35"/>
        <v>3082.3087680000003</v>
      </c>
      <c r="S72" s="109">
        <f t="shared" si="35"/>
        <v>3035.6071199999997</v>
      </c>
      <c r="T72" s="282">
        <f t="shared" si="35"/>
        <v>3038.2016559999997</v>
      </c>
      <c r="U72" s="165">
        <f t="shared" si="35"/>
        <v>3641.1707549999996</v>
      </c>
      <c r="V72" s="166">
        <f t="shared" si="35"/>
        <v>4992.688775</v>
      </c>
      <c r="W72" s="166">
        <f t="shared" si="35"/>
        <v>3576.992525</v>
      </c>
      <c r="X72" s="166">
        <f t="shared" si="35"/>
        <v>3633.620375</v>
      </c>
      <c r="Y72" s="166">
        <f t="shared" si="35"/>
        <v>3284.415299999999</v>
      </c>
      <c r="Z72" s="167">
        <f t="shared" si="35"/>
        <v>3576.992525</v>
      </c>
      <c r="AA72" s="310">
        <f t="shared" si="35"/>
        <v>3641.1707549999996</v>
      </c>
      <c r="AB72" s="196">
        <f t="shared" si="35"/>
        <v>4992.688775</v>
      </c>
      <c r="AC72" s="196">
        <f t="shared" si="35"/>
        <v>3576.992525</v>
      </c>
      <c r="AD72" s="196">
        <f t="shared" si="35"/>
        <v>3633.620375</v>
      </c>
      <c r="AE72" s="196">
        <f t="shared" si="35"/>
        <v>3284.415299999999</v>
      </c>
      <c r="AF72" s="311">
        <f t="shared" si="35"/>
        <v>3576.992525</v>
      </c>
    </row>
    <row r="73" spans="1:32" ht="12.75">
      <c r="A73" s="424"/>
      <c r="B73" s="146" t="s">
        <v>19</v>
      </c>
      <c r="C73" s="51">
        <f>'Données RW'!C54</f>
        <v>296</v>
      </c>
      <c r="D73" s="52">
        <f>'Données RW'!D54</f>
        <v>296</v>
      </c>
      <c r="E73" s="52">
        <f>'Données RW'!E54</f>
        <v>296</v>
      </c>
      <c r="F73" s="52">
        <f>'Données RW'!F54</f>
        <v>296</v>
      </c>
      <c r="G73" s="52">
        <f>'Données RW'!G54</f>
        <v>296</v>
      </c>
      <c r="H73" s="53">
        <f>'Données RW'!H54</f>
        <v>296</v>
      </c>
      <c r="I73" s="85">
        <f>'Données RW'!I54</f>
        <v>296</v>
      </c>
      <c r="J73" s="86">
        <f>'Données RW'!J54</f>
        <v>296</v>
      </c>
      <c r="K73" s="86">
        <f>'Données RW'!K54</f>
        <v>296</v>
      </c>
      <c r="L73" s="86">
        <f>'Données RW'!L54</f>
        <v>296</v>
      </c>
      <c r="M73" s="86">
        <f>'Données RW'!M54</f>
        <v>296</v>
      </c>
      <c r="N73" s="261">
        <f>'Données RW'!N54</f>
        <v>296</v>
      </c>
      <c r="O73" s="272">
        <f>'Données RW'!O54</f>
        <v>296</v>
      </c>
      <c r="P73" s="109">
        <f>'Données RW'!P54</f>
        <v>296</v>
      </c>
      <c r="Q73" s="109">
        <f>'Données RW'!Q54</f>
        <v>296</v>
      </c>
      <c r="R73" s="109">
        <f>'Données RW'!R54</f>
        <v>296</v>
      </c>
      <c r="S73" s="109">
        <f>'Données RW'!S54</f>
        <v>296</v>
      </c>
      <c r="T73" s="282">
        <f>'Données RW'!T54</f>
        <v>296</v>
      </c>
      <c r="U73" s="165">
        <f>'Données RW'!U54</f>
        <v>296</v>
      </c>
      <c r="V73" s="166">
        <f>'Données RW'!V54</f>
        <v>296</v>
      </c>
      <c r="W73" s="166">
        <f>'Données RW'!W54</f>
        <v>296</v>
      </c>
      <c r="X73" s="166">
        <f>'Données RW'!X54</f>
        <v>296</v>
      </c>
      <c r="Y73" s="166">
        <f>'Données RW'!Y54</f>
        <v>296</v>
      </c>
      <c r="Z73" s="167">
        <f>'Données RW'!Z54</f>
        <v>296</v>
      </c>
      <c r="AA73" s="310">
        <f>'Données RW'!AA54</f>
        <v>296</v>
      </c>
      <c r="AB73" s="196">
        <f>'Données RW'!AB54</f>
        <v>296</v>
      </c>
      <c r="AC73" s="196">
        <f>'Données RW'!AC54</f>
        <v>296</v>
      </c>
      <c r="AD73" s="196">
        <f>'Données RW'!AD54</f>
        <v>296</v>
      </c>
      <c r="AE73" s="196">
        <f>'Données RW'!AE54</f>
        <v>296</v>
      </c>
      <c r="AF73" s="311">
        <f>'Données RW'!AF54</f>
        <v>296</v>
      </c>
    </row>
    <row r="74" spans="1:32" ht="12.75">
      <c r="A74" s="424"/>
      <c r="B74" s="146" t="s">
        <v>7</v>
      </c>
      <c r="C74" s="252">
        <f>C72*C73</f>
        <v>883342.7419199998</v>
      </c>
      <c r="D74" s="142">
        <f aca="true" t="shared" si="36" ref="D74:AF74">D72*D73</f>
        <v>886270.0575999998</v>
      </c>
      <c r="E74" s="142">
        <f t="shared" si="36"/>
        <v>880213.5423999999</v>
      </c>
      <c r="F74" s="142">
        <f t="shared" si="36"/>
        <v>928665.664</v>
      </c>
      <c r="G74" s="142">
        <f t="shared" si="36"/>
        <v>751007.8848000001</v>
      </c>
      <c r="H74" s="253">
        <f t="shared" si="36"/>
        <v>861034.5775999998</v>
      </c>
      <c r="I74" s="242">
        <f t="shared" si="36"/>
        <v>1151479.645056</v>
      </c>
      <c r="J74" s="153">
        <f t="shared" si="36"/>
        <v>1215862.33392</v>
      </c>
      <c r="K74" s="153">
        <f t="shared" si="36"/>
        <v>1122028.3152</v>
      </c>
      <c r="L74" s="153">
        <f t="shared" si="36"/>
        <v>1167031.90656</v>
      </c>
      <c r="M74" s="153">
        <f t="shared" si="36"/>
        <v>1041817.8326400003</v>
      </c>
      <c r="N74" s="265">
        <f t="shared" si="36"/>
        <v>1130753.5012800004</v>
      </c>
      <c r="O74" s="276">
        <f t="shared" si="36"/>
        <v>936862.0420544</v>
      </c>
      <c r="P74" s="160">
        <f t="shared" si="36"/>
        <v>910827.4300159999</v>
      </c>
      <c r="Q74" s="160">
        <f t="shared" si="36"/>
        <v>965354.1985919998</v>
      </c>
      <c r="R74" s="160">
        <f t="shared" si="36"/>
        <v>912363.3953280001</v>
      </c>
      <c r="S74" s="160">
        <f t="shared" si="36"/>
        <v>898539.7075199999</v>
      </c>
      <c r="T74" s="286">
        <f t="shared" si="36"/>
        <v>899307.6901759999</v>
      </c>
      <c r="U74" s="300">
        <f t="shared" si="36"/>
        <v>1077786.54348</v>
      </c>
      <c r="V74" s="186">
        <f t="shared" si="36"/>
        <v>1477835.8773999999</v>
      </c>
      <c r="W74" s="186">
        <f t="shared" si="36"/>
        <v>1058789.7874</v>
      </c>
      <c r="X74" s="186">
        <f t="shared" si="36"/>
        <v>1075551.631</v>
      </c>
      <c r="Y74" s="186">
        <f t="shared" si="36"/>
        <v>972186.9287999998</v>
      </c>
      <c r="Z74" s="301">
        <f t="shared" si="36"/>
        <v>1058789.7874</v>
      </c>
      <c r="AA74" s="318">
        <f t="shared" si="36"/>
        <v>1077786.54348</v>
      </c>
      <c r="AB74" s="202">
        <f t="shared" si="36"/>
        <v>1477835.8773999999</v>
      </c>
      <c r="AC74" s="202">
        <f t="shared" si="36"/>
        <v>1058789.7874</v>
      </c>
      <c r="AD74" s="202">
        <f t="shared" si="36"/>
        <v>1075551.631</v>
      </c>
      <c r="AE74" s="202">
        <f t="shared" si="36"/>
        <v>972186.9287999998</v>
      </c>
      <c r="AF74" s="319">
        <f t="shared" si="36"/>
        <v>1058789.7874</v>
      </c>
    </row>
    <row r="75" spans="1:32" ht="12.75">
      <c r="A75" s="424"/>
      <c r="B75" s="146" t="s">
        <v>133</v>
      </c>
      <c r="C75" s="252">
        <f aca="true" t="shared" si="37" ref="C75:AF75">C74/C9</f>
        <v>118755.2</v>
      </c>
      <c r="D75" s="142">
        <f t="shared" si="37"/>
        <v>118755.19999999998</v>
      </c>
      <c r="E75" s="142">
        <f t="shared" si="37"/>
        <v>118755.2</v>
      </c>
      <c r="F75" s="142">
        <f t="shared" si="37"/>
        <v>118755.20000000001</v>
      </c>
      <c r="G75" s="142">
        <f t="shared" si="37"/>
        <v>118755.20000000001</v>
      </c>
      <c r="H75" s="580">
        <f t="shared" si="37"/>
        <v>118755.2</v>
      </c>
      <c r="I75" s="581">
        <f t="shared" si="37"/>
        <v>58874.399999999994</v>
      </c>
      <c r="J75" s="153">
        <f t="shared" si="37"/>
        <v>58874.39999999999</v>
      </c>
      <c r="K75" s="153">
        <f t="shared" si="37"/>
        <v>58874.4</v>
      </c>
      <c r="L75" s="153">
        <f t="shared" si="37"/>
        <v>58874.40000000001</v>
      </c>
      <c r="M75" s="153">
        <f t="shared" si="37"/>
        <v>58874.40000000001</v>
      </c>
      <c r="N75" s="582">
        <f t="shared" si="37"/>
        <v>58874.400000000016</v>
      </c>
      <c r="O75" s="160">
        <f t="shared" si="37"/>
        <v>88681.59999999999</v>
      </c>
      <c r="P75" s="160">
        <f t="shared" si="37"/>
        <v>88681.6</v>
      </c>
      <c r="Q75" s="160">
        <f t="shared" si="37"/>
        <v>88681.59999999999</v>
      </c>
      <c r="R75" s="160">
        <f t="shared" si="37"/>
        <v>88681.6</v>
      </c>
      <c r="S75" s="160">
        <f t="shared" si="37"/>
        <v>88681.6</v>
      </c>
      <c r="T75" s="286">
        <f t="shared" si="37"/>
        <v>88681.59999999999</v>
      </c>
      <c r="U75" s="300">
        <f t="shared" si="37"/>
        <v>328663.6</v>
      </c>
      <c r="V75" s="186">
        <f t="shared" si="37"/>
        <v>328663.6</v>
      </c>
      <c r="W75" s="186">
        <f t="shared" si="37"/>
        <v>328663.60000000003</v>
      </c>
      <c r="X75" s="186">
        <f t="shared" si="37"/>
        <v>328663.60000000003</v>
      </c>
      <c r="Y75" s="186">
        <f t="shared" si="37"/>
        <v>328663.6</v>
      </c>
      <c r="Z75" s="301">
        <f t="shared" si="37"/>
        <v>328663.60000000003</v>
      </c>
      <c r="AA75" s="583">
        <f t="shared" si="37"/>
        <v>328663.6</v>
      </c>
      <c r="AB75" s="202">
        <f t="shared" si="37"/>
        <v>328663.6</v>
      </c>
      <c r="AC75" s="202">
        <f t="shared" si="37"/>
        <v>328663.60000000003</v>
      </c>
      <c r="AD75" s="202">
        <f t="shared" si="37"/>
        <v>328663.60000000003</v>
      </c>
      <c r="AE75" s="202">
        <f t="shared" si="37"/>
        <v>328663.6</v>
      </c>
      <c r="AF75" s="319">
        <f t="shared" si="37"/>
        <v>328663.60000000003</v>
      </c>
    </row>
    <row r="76" spans="1:32" ht="13.5" thickBot="1">
      <c r="A76" s="425"/>
      <c r="B76" s="238" t="s">
        <v>40</v>
      </c>
      <c r="C76" s="55">
        <f>C74/C83</f>
        <v>7.293881710646041</v>
      </c>
      <c r="D76" s="206">
        <f aca="true" t="shared" si="38" ref="D76:AF76">D74/D83</f>
        <v>7.293881710646041</v>
      </c>
      <c r="E76" s="206">
        <f t="shared" si="38"/>
        <v>7.293881710646041</v>
      </c>
      <c r="F76" s="206">
        <f t="shared" si="38"/>
        <v>7.293881710646042</v>
      </c>
      <c r="G76" s="206">
        <f t="shared" si="38"/>
        <v>7.293881710646042</v>
      </c>
      <c r="H76" s="588">
        <f t="shared" si="38"/>
        <v>7.293881710646041</v>
      </c>
      <c r="I76" s="589">
        <f t="shared" si="38"/>
        <v>4.415583239606192</v>
      </c>
      <c r="J76" s="207">
        <f t="shared" si="38"/>
        <v>4.415583239606192</v>
      </c>
      <c r="K76" s="207">
        <f t="shared" si="38"/>
        <v>4.415583239606192</v>
      </c>
      <c r="L76" s="207">
        <f t="shared" si="38"/>
        <v>4.4155832396061925</v>
      </c>
      <c r="M76" s="207">
        <f t="shared" si="38"/>
        <v>4.4155832396061925</v>
      </c>
      <c r="N76" s="590">
        <f t="shared" si="38"/>
        <v>4.415583239606193</v>
      </c>
      <c r="O76" s="208">
        <f t="shared" si="38"/>
        <v>4.830922131401965</v>
      </c>
      <c r="P76" s="208">
        <f t="shared" si="38"/>
        <v>4.830922131401966</v>
      </c>
      <c r="Q76" s="208">
        <f t="shared" si="38"/>
        <v>4.830922131401965</v>
      </c>
      <c r="R76" s="208">
        <f t="shared" si="38"/>
        <v>4.830922131401966</v>
      </c>
      <c r="S76" s="208">
        <f t="shared" si="38"/>
        <v>4.830922131401966</v>
      </c>
      <c r="T76" s="418">
        <f t="shared" si="38"/>
        <v>4.830922131401966</v>
      </c>
      <c r="U76" s="175">
        <f t="shared" si="38"/>
        <v>12.635764347699434</v>
      </c>
      <c r="V76" s="209">
        <f t="shared" si="38"/>
        <v>12.635764347699434</v>
      </c>
      <c r="W76" s="209">
        <f t="shared" si="38"/>
        <v>12.635764347699434</v>
      </c>
      <c r="X76" s="209">
        <f t="shared" si="38"/>
        <v>12.635764347699435</v>
      </c>
      <c r="Y76" s="209">
        <f t="shared" si="38"/>
        <v>12.635764347699432</v>
      </c>
      <c r="Z76" s="419">
        <f t="shared" si="38"/>
        <v>12.635764347699434</v>
      </c>
      <c r="AA76" s="591">
        <f t="shared" si="38"/>
        <v>13.477406203373416</v>
      </c>
      <c r="AB76" s="210">
        <f t="shared" si="38"/>
        <v>13.477406203373414</v>
      </c>
      <c r="AC76" s="210">
        <f t="shared" si="38"/>
        <v>13.477406203373416</v>
      </c>
      <c r="AD76" s="210">
        <f t="shared" si="38"/>
        <v>13.477406203373416</v>
      </c>
      <c r="AE76" s="210">
        <f t="shared" si="38"/>
        <v>13.477406203373414</v>
      </c>
      <c r="AF76" s="421">
        <f t="shared" si="38"/>
        <v>13.477406203373416</v>
      </c>
    </row>
    <row r="77" spans="1:32" ht="13.5" thickBot="1">
      <c r="A77" s="424"/>
      <c r="B77" s="146"/>
      <c r="C77" s="56"/>
      <c r="D77" s="57"/>
      <c r="E77" s="57"/>
      <c r="F77" s="57"/>
      <c r="G77" s="57"/>
      <c r="H77" s="58"/>
      <c r="I77" s="77"/>
      <c r="J77" s="78"/>
      <c r="K77" s="78"/>
      <c r="L77" s="78"/>
      <c r="M77" s="78"/>
      <c r="N77" s="365"/>
      <c r="O77" s="366"/>
      <c r="P77" s="101"/>
      <c r="Q77" s="101"/>
      <c r="R77" s="101"/>
      <c r="S77" s="101"/>
      <c r="T77" s="124"/>
      <c r="U77" s="169"/>
      <c r="V77" s="178"/>
      <c r="W77" s="178"/>
      <c r="X77" s="178"/>
      <c r="Y77" s="178"/>
      <c r="Z77" s="367"/>
      <c r="AA77" s="384"/>
      <c r="AB77" s="211"/>
      <c r="AC77" s="211"/>
      <c r="AD77" s="211"/>
      <c r="AE77" s="211"/>
      <c r="AF77" s="385"/>
    </row>
    <row r="78" spans="1:107" s="8" customFormat="1" ht="12.75">
      <c r="A78" s="423" t="s">
        <v>20</v>
      </c>
      <c r="B78" s="592" t="s">
        <v>7</v>
      </c>
      <c r="C78" s="593">
        <f aca="true" t="shared" si="39" ref="C78:AF78">C74+C64+C55+C46+C37+C28+C19</f>
        <v>1769894.2776919154</v>
      </c>
      <c r="D78" s="594">
        <f t="shared" si="39"/>
        <v>1908532.2734893402</v>
      </c>
      <c r="E78" s="594">
        <f t="shared" si="39"/>
        <v>1877602.1532337333</v>
      </c>
      <c r="F78" s="594">
        <f t="shared" si="39"/>
        <v>1789446.3881206727</v>
      </c>
      <c r="G78" s="594">
        <f t="shared" si="39"/>
        <v>1440669.7527839933</v>
      </c>
      <c r="H78" s="595">
        <f t="shared" si="39"/>
        <v>1749832.8307839585</v>
      </c>
      <c r="I78" s="596">
        <f t="shared" si="39"/>
        <v>2363158.041524985</v>
      </c>
      <c r="J78" s="597">
        <f t="shared" si="39"/>
        <v>2560469.5105064097</v>
      </c>
      <c r="K78" s="597">
        <f t="shared" si="39"/>
        <v>2446582.3012308027</v>
      </c>
      <c r="L78" s="597">
        <f t="shared" si="39"/>
        <v>2350166.864377742</v>
      </c>
      <c r="M78" s="597">
        <f t="shared" si="39"/>
        <v>2057227.8523210622</v>
      </c>
      <c r="N78" s="598">
        <f t="shared" si="39"/>
        <v>2344959.896161028</v>
      </c>
      <c r="O78" s="637">
        <f t="shared" si="39"/>
        <v>1864580.027181525</v>
      </c>
      <c r="P78" s="638">
        <f t="shared" si="39"/>
        <v>1971590.1077605498</v>
      </c>
      <c r="Q78" s="638">
        <f t="shared" si="39"/>
        <v>2006049.7762809424</v>
      </c>
      <c r="R78" s="638">
        <f t="shared" si="39"/>
        <v>1811500.8498038822</v>
      </c>
      <c r="S78" s="638">
        <f t="shared" si="39"/>
        <v>1630048.044859202</v>
      </c>
      <c r="T78" s="639">
        <f t="shared" si="39"/>
        <v>1829362.0317151677</v>
      </c>
      <c r="U78" s="640">
        <f t="shared" si="39"/>
        <v>1997047.7019372727</v>
      </c>
      <c r="V78" s="641">
        <f t="shared" si="39"/>
        <v>2530202.0029746974</v>
      </c>
      <c r="W78" s="641">
        <f t="shared" si="39"/>
        <v>2090949.7179190908</v>
      </c>
      <c r="X78" s="641">
        <f t="shared" si="39"/>
        <v>1966246.1683060299</v>
      </c>
      <c r="Y78" s="641">
        <f t="shared" si="39"/>
        <v>1695202.89296935</v>
      </c>
      <c r="Z78" s="642">
        <f t="shared" si="39"/>
        <v>1980537.2157693158</v>
      </c>
      <c r="AA78" s="640">
        <f t="shared" si="39"/>
        <v>1997047.7019372727</v>
      </c>
      <c r="AB78" s="641">
        <f t="shared" si="39"/>
        <v>2530202.0029746974</v>
      </c>
      <c r="AC78" s="641">
        <f t="shared" si="39"/>
        <v>2090949.7179190908</v>
      </c>
      <c r="AD78" s="641">
        <f t="shared" si="39"/>
        <v>1966246.1683060299</v>
      </c>
      <c r="AE78" s="641">
        <f t="shared" si="39"/>
        <v>1695202.89296935</v>
      </c>
      <c r="AF78" s="642">
        <f t="shared" si="39"/>
        <v>1980537.2157693158</v>
      </c>
      <c r="AG78" s="224"/>
      <c r="AH78" s="224"/>
      <c r="AI78" s="224"/>
      <c r="AJ78" s="224"/>
      <c r="AK78" s="224"/>
      <c r="AL78" s="224"/>
      <c r="AM78" s="224"/>
      <c r="AN78" s="224"/>
      <c r="AO78" s="224"/>
      <c r="AP78" s="224"/>
      <c r="AQ78" s="224"/>
      <c r="AR78" s="224"/>
      <c r="AS78" s="224"/>
      <c r="AT78" s="224"/>
      <c r="AU78" s="224"/>
      <c r="AV78" s="224"/>
      <c r="AW78" s="224"/>
      <c r="AX78" s="224"/>
      <c r="AY78" s="224"/>
      <c r="AZ78" s="224"/>
      <c r="BA78" s="224"/>
      <c r="BB78" s="224"/>
      <c r="BC78" s="224"/>
      <c r="BD78" s="224"/>
      <c r="BE78" s="224"/>
      <c r="BF78" s="224"/>
      <c r="BG78" s="224"/>
      <c r="BH78" s="224"/>
      <c r="BI78" s="224"/>
      <c r="BJ78" s="224"/>
      <c r="BK78" s="224"/>
      <c r="BL78" s="224"/>
      <c r="BM78" s="224"/>
      <c r="BN78" s="224"/>
      <c r="BO78" s="224"/>
      <c r="BP78" s="224"/>
      <c r="BQ78" s="224"/>
      <c r="BR78" s="224"/>
      <c r="BS78" s="224"/>
      <c r="BT78" s="224"/>
      <c r="BU78" s="224"/>
      <c r="BV78" s="224"/>
      <c r="BW78" s="224"/>
      <c r="BX78" s="224"/>
      <c r="BY78" s="224"/>
      <c r="BZ78" s="224"/>
      <c r="CA78" s="224"/>
      <c r="CB78" s="224"/>
      <c r="CC78" s="224"/>
      <c r="CD78" s="224"/>
      <c r="CE78" s="224"/>
      <c r="CF78" s="224"/>
      <c r="CG78" s="224"/>
      <c r="CH78" s="224"/>
      <c r="CI78" s="224"/>
      <c r="CJ78" s="224"/>
      <c r="CK78" s="224"/>
      <c r="CL78" s="224"/>
      <c r="CM78" s="224"/>
      <c r="CN78" s="224"/>
      <c r="CO78" s="224"/>
      <c r="CP78" s="224"/>
      <c r="CQ78" s="224"/>
      <c r="CR78" s="224"/>
      <c r="CS78" s="224"/>
      <c r="CT78" s="224"/>
      <c r="CU78" s="224"/>
      <c r="CV78" s="224"/>
      <c r="CW78" s="224"/>
      <c r="CX78" s="224"/>
      <c r="CY78" s="224"/>
      <c r="CZ78" s="224"/>
      <c r="DA78" s="224"/>
      <c r="DB78" s="224"/>
      <c r="DC78" s="224"/>
    </row>
    <row r="79" spans="1:32" ht="12.75">
      <c r="A79" s="424"/>
      <c r="B79" s="599" t="s">
        <v>133</v>
      </c>
      <c r="C79" s="600">
        <f aca="true" t="shared" si="40" ref="C79:AF79">C75+C65+C56+C47+C38+C29+C20</f>
        <v>237941.78516632263</v>
      </c>
      <c r="D79" s="601">
        <f t="shared" si="40"/>
        <v>255732.5838790487</v>
      </c>
      <c r="E79" s="601">
        <f t="shared" si="40"/>
        <v>253319.23276224145</v>
      </c>
      <c r="F79" s="601">
        <f t="shared" si="40"/>
        <v>228829.46139650547</v>
      </c>
      <c r="G79" s="601">
        <f t="shared" si="40"/>
        <v>227809.8913320672</v>
      </c>
      <c r="H79" s="602">
        <f t="shared" si="40"/>
        <v>241339.6084110005</v>
      </c>
      <c r="I79" s="603">
        <f t="shared" si="40"/>
        <v>120826.72272786226</v>
      </c>
      <c r="J79" s="604">
        <f t="shared" si="40"/>
        <v>123982.87367233893</v>
      </c>
      <c r="K79" s="604">
        <f t="shared" si="40"/>
        <v>128375.60610928756</v>
      </c>
      <c r="L79" s="604">
        <f t="shared" si="40"/>
        <v>118561.16637630874</v>
      </c>
      <c r="M79" s="604">
        <f t="shared" si="40"/>
        <v>116256.46218953087</v>
      </c>
      <c r="N79" s="605">
        <f t="shared" si="40"/>
        <v>122093.90176927387</v>
      </c>
      <c r="O79" s="643">
        <f t="shared" si="40"/>
        <v>176497.64075818929</v>
      </c>
      <c r="P79" s="644">
        <f t="shared" si="40"/>
        <v>191961.46222485483</v>
      </c>
      <c r="Q79" s="644">
        <f t="shared" si="40"/>
        <v>184284.3840112867</v>
      </c>
      <c r="R79" s="644">
        <f t="shared" si="40"/>
        <v>176077.64031810427</v>
      </c>
      <c r="S79" s="644">
        <f t="shared" si="40"/>
        <v>160877.99736081032</v>
      </c>
      <c r="T79" s="645">
        <f t="shared" si="40"/>
        <v>180395.15699015348</v>
      </c>
      <c r="U79" s="646">
        <f t="shared" si="40"/>
        <v>608985.9732068653</v>
      </c>
      <c r="V79" s="647">
        <f t="shared" si="40"/>
        <v>562704.7710385183</v>
      </c>
      <c r="W79" s="647">
        <f t="shared" si="40"/>
        <v>649060.9088682573</v>
      </c>
      <c r="X79" s="647">
        <f t="shared" si="40"/>
        <v>600839.1652577631</v>
      </c>
      <c r="Y79" s="647">
        <f t="shared" si="40"/>
        <v>573090.9036407539</v>
      </c>
      <c r="Z79" s="648">
        <f t="shared" si="40"/>
        <v>614787.2779044905</v>
      </c>
      <c r="AA79" s="646">
        <f t="shared" si="40"/>
        <v>608985.9732068653</v>
      </c>
      <c r="AB79" s="647">
        <f t="shared" si="40"/>
        <v>562704.7710385183</v>
      </c>
      <c r="AC79" s="647">
        <f t="shared" si="40"/>
        <v>649060.9088682573</v>
      </c>
      <c r="AD79" s="647">
        <f t="shared" si="40"/>
        <v>600839.1652577631</v>
      </c>
      <c r="AE79" s="647">
        <f t="shared" si="40"/>
        <v>573090.9036407539</v>
      </c>
      <c r="AF79" s="648">
        <f t="shared" si="40"/>
        <v>614787.2779044905</v>
      </c>
    </row>
    <row r="80" spans="1:32" ht="12.75">
      <c r="A80" s="424"/>
      <c r="B80" s="599" t="s">
        <v>134</v>
      </c>
      <c r="C80" s="600">
        <f>'Données RW'!C15*1000/'Données RW'!C16</f>
        <v>10000</v>
      </c>
      <c r="D80" s="601">
        <f>'Données RW'!D15*1000/'Données RW'!D16</f>
        <v>10000</v>
      </c>
      <c r="E80" s="601">
        <f>'Données RW'!E15*1000/'Données RW'!E16</f>
        <v>10000</v>
      </c>
      <c r="F80" s="601">
        <f>'Données RW'!F15*1000/'Données RW'!F16</f>
        <v>10000</v>
      </c>
      <c r="G80" s="601">
        <f>'Données RW'!G15*1000/'Données RW'!G16</f>
        <v>10000</v>
      </c>
      <c r="H80" s="602">
        <f>'Données RW'!H15*1000/'Données RW'!H16</f>
        <v>10000</v>
      </c>
      <c r="I80" s="603">
        <f>'Données RW'!I15*1000/'Données RW'!I16</f>
        <v>9310.344827586207</v>
      </c>
      <c r="J80" s="604">
        <f>'Données RW'!J15*1000/'Données RW'!J16</f>
        <v>9310.344827586207</v>
      </c>
      <c r="K80" s="604">
        <f>'Données RW'!K15*1000/'Données RW'!K16</f>
        <v>9310.344827586207</v>
      </c>
      <c r="L80" s="604">
        <f>'Données RW'!L15*1000/'Données RW'!L16</f>
        <v>9310.344827586207</v>
      </c>
      <c r="M80" s="604">
        <f>'Données RW'!M15*1000/'Données RW'!M16</f>
        <v>9310.344827586207</v>
      </c>
      <c r="N80" s="605">
        <f>'Données RW'!N15*1000/'Données RW'!N16</f>
        <v>9310.344827586207</v>
      </c>
      <c r="O80" s="643">
        <f>'Données RW'!O15*1000/'Données RW'!O16</f>
        <v>10000</v>
      </c>
      <c r="P80" s="644">
        <f>'Données RW'!P15*1000/'Données RW'!P16</f>
        <v>10000</v>
      </c>
      <c r="Q80" s="644">
        <f>'Données RW'!Q15*1000/'Données RW'!Q16</f>
        <v>10000</v>
      </c>
      <c r="R80" s="644">
        <f>'Données RW'!R15*1000/'Données RW'!R16</f>
        <v>10000</v>
      </c>
      <c r="S80" s="644">
        <f>'Données RW'!S15*1000/'Données RW'!S16</f>
        <v>10000</v>
      </c>
      <c r="T80" s="645">
        <f>'Données RW'!T15*1000/'Données RW'!T16</f>
        <v>10000</v>
      </c>
      <c r="U80" s="646">
        <f>'Données RW'!U15*1000/'Données RW'!U16</f>
        <v>14985</v>
      </c>
      <c r="V80" s="647">
        <f>'Données RW'!V15*1000/'Données RW'!V16</f>
        <v>14985</v>
      </c>
      <c r="W80" s="647">
        <f>'Données RW'!W15*1000/'Données RW'!W16</f>
        <v>14985</v>
      </c>
      <c r="X80" s="647">
        <f>'Données RW'!X15*1000/'Données RW'!X16</f>
        <v>14985</v>
      </c>
      <c r="Y80" s="647">
        <f>'Données RW'!Y15*1000/'Données RW'!Y16</f>
        <v>14985</v>
      </c>
      <c r="Z80" s="648">
        <f>'Données RW'!Z15*1000/'Données RW'!Z16</f>
        <v>14985</v>
      </c>
      <c r="AA80" s="646">
        <f>'Données RW'!AA15*1000/'Données RW'!AA16</f>
        <v>12333.333333333334</v>
      </c>
      <c r="AB80" s="647">
        <f>'Données RW'!AB15*1000/'Données RW'!AB16</f>
        <v>12333.333333333334</v>
      </c>
      <c r="AC80" s="647">
        <f>'Données RW'!AC15*1000/'Données RW'!AC16</f>
        <v>12333.333333333334</v>
      </c>
      <c r="AD80" s="647">
        <f>'Données RW'!AD15*1000/'Données RW'!AD16</f>
        <v>12333.333333333334</v>
      </c>
      <c r="AE80" s="647">
        <f>'Données RW'!AE15*1000/'Données RW'!AE16</f>
        <v>12333.333333333334</v>
      </c>
      <c r="AF80" s="648">
        <f>'Données RW'!AF15*1000/'Données RW'!AF16</f>
        <v>12333.333333333334</v>
      </c>
    </row>
    <row r="81" spans="1:32" ht="12.75">
      <c r="A81" s="424"/>
      <c r="B81" s="599" t="s">
        <v>135</v>
      </c>
      <c r="C81" s="600">
        <f>'Données RW'!C17/'Données RW'!C16*'Données RW'!C18*1000</f>
        <v>6281.481481481482</v>
      </c>
      <c r="D81" s="601">
        <f>'Données RW'!D17/'Données RW'!D16*'Données RW'!D18*1000</f>
        <v>6281.481481481482</v>
      </c>
      <c r="E81" s="601">
        <f>'Données RW'!E17/'Données RW'!E16*'Données RW'!E18*1000</f>
        <v>6281.481481481482</v>
      </c>
      <c r="F81" s="601">
        <f>'Données RW'!F17/'Données RW'!F16*'Données RW'!F18*1000</f>
        <v>6281.481481481482</v>
      </c>
      <c r="G81" s="601">
        <f>'Données RW'!G17/'Données RW'!G16*'Données RW'!G18*1000</f>
        <v>6281.481481481482</v>
      </c>
      <c r="H81" s="602">
        <f>'Données RW'!H17/'Données RW'!H16*'Données RW'!H18*1000</f>
        <v>6281.481481481482</v>
      </c>
      <c r="I81" s="603">
        <f>'Données RW'!I17/'Données RW'!I16*'Données RW'!I18*1000</f>
        <v>4022.9787234042556</v>
      </c>
      <c r="J81" s="604">
        <f>'Données RW'!J17/'Données RW'!J16*'Données RW'!J18*1000</f>
        <v>4022.9787234042556</v>
      </c>
      <c r="K81" s="604">
        <f>'Données RW'!K17/'Données RW'!K16*'Données RW'!K18*1000</f>
        <v>4022.9787234042556</v>
      </c>
      <c r="L81" s="604">
        <f>'Données RW'!L17/'Données RW'!L16*'Données RW'!L18*1000</f>
        <v>4022.9787234042556</v>
      </c>
      <c r="M81" s="604">
        <f>'Données RW'!M17/'Données RW'!M16*'Données RW'!M18*1000</f>
        <v>4022.9787234042556</v>
      </c>
      <c r="N81" s="605">
        <f>'Données RW'!N17/'Données RW'!N16*'Données RW'!N18*1000</f>
        <v>4022.9787234042556</v>
      </c>
      <c r="O81" s="643">
        <f>'Données RW'!O17/'Données RW'!O16*'Données RW'!O18*1000</f>
        <v>8357.07502374169</v>
      </c>
      <c r="P81" s="644">
        <f>'Données RW'!P17/'Données RW'!P16*'Données RW'!P18*1000</f>
        <v>8357.07502374169</v>
      </c>
      <c r="Q81" s="644">
        <f>'Données RW'!Q17/'Données RW'!Q16*'Données RW'!Q18*1000</f>
        <v>8357.07502374169</v>
      </c>
      <c r="R81" s="644">
        <f>'Données RW'!R17/'Données RW'!R16*'Données RW'!R18*1000</f>
        <v>8357.07502374169</v>
      </c>
      <c r="S81" s="644">
        <f>'Données RW'!S17/'Données RW'!S16*'Données RW'!S18*1000</f>
        <v>8357.07502374169</v>
      </c>
      <c r="T81" s="645">
        <f>'Données RW'!T17/'Données RW'!T16*'Données RW'!T18*1000</f>
        <v>8357.07502374169</v>
      </c>
      <c r="U81" s="646">
        <f>'Données RW'!U17/'Données RW'!U16*'Données RW'!U18*1000</f>
        <v>11025.583210966503</v>
      </c>
      <c r="V81" s="647">
        <f>'Données RW'!V17/'Données RW'!V16*'Données RW'!V18*1000</f>
        <v>11025.583210966503</v>
      </c>
      <c r="W81" s="647">
        <f>'Données RW'!W17/'Données RW'!W16*'Données RW'!W18*1000</f>
        <v>11025.583210966503</v>
      </c>
      <c r="X81" s="647">
        <f>'Données RW'!X17/'Données RW'!X16*'Données RW'!X18*1000</f>
        <v>11025.583210966503</v>
      </c>
      <c r="Y81" s="647">
        <f>'Données RW'!Y17/'Données RW'!Y16*'Données RW'!Y18*1000</f>
        <v>11025.583210966503</v>
      </c>
      <c r="Z81" s="648">
        <f>'Données RW'!Z17/'Données RW'!Z16*'Données RW'!Z18*1000</f>
        <v>11025.583210966503</v>
      </c>
      <c r="AA81" s="646">
        <f>'Données RW'!AA17/'Données RW'!AA16*'Données RW'!AA18*1000</f>
        <v>12052.931726907633</v>
      </c>
      <c r="AB81" s="647">
        <f>'Données RW'!AB17/'Données RW'!AB16*'Données RW'!AB18*1000</f>
        <v>12052.931726907633</v>
      </c>
      <c r="AC81" s="647">
        <f>'Données RW'!AC17/'Données RW'!AC16*'Données RW'!AC18*1000</f>
        <v>12052.931726907633</v>
      </c>
      <c r="AD81" s="647">
        <f>'Données RW'!AD17/'Données RW'!AD16*'Données RW'!AD18*1000</f>
        <v>12052.931726907633</v>
      </c>
      <c r="AE81" s="647">
        <f>'Données RW'!AE17/'Données RW'!AE16*'Données RW'!AE18*1000</f>
        <v>12052.931726907633</v>
      </c>
      <c r="AF81" s="648">
        <f>'Données RW'!AF17/'Données RW'!AF16*'Données RW'!AF18*1000</f>
        <v>12052.931726907633</v>
      </c>
    </row>
    <row r="82" spans="1:107" s="12" customFormat="1" ht="12.75">
      <c r="A82" s="424"/>
      <c r="B82" s="599" t="s">
        <v>136</v>
      </c>
      <c r="C82" s="600">
        <f>C80+C81</f>
        <v>16281.481481481482</v>
      </c>
      <c r="D82" s="601">
        <f aca="true" t="shared" si="41" ref="D82:AF82">D80+D81</f>
        <v>16281.481481481482</v>
      </c>
      <c r="E82" s="601">
        <f t="shared" si="41"/>
        <v>16281.481481481482</v>
      </c>
      <c r="F82" s="601">
        <f t="shared" si="41"/>
        <v>16281.481481481482</v>
      </c>
      <c r="G82" s="601">
        <f t="shared" si="41"/>
        <v>16281.481481481482</v>
      </c>
      <c r="H82" s="602">
        <f t="shared" si="41"/>
        <v>16281.481481481482</v>
      </c>
      <c r="I82" s="603">
        <f t="shared" si="41"/>
        <v>13333.323550990463</v>
      </c>
      <c r="J82" s="604">
        <f t="shared" si="41"/>
        <v>13333.323550990463</v>
      </c>
      <c r="K82" s="604">
        <f t="shared" si="41"/>
        <v>13333.323550990463</v>
      </c>
      <c r="L82" s="604">
        <f t="shared" si="41"/>
        <v>13333.323550990463</v>
      </c>
      <c r="M82" s="604">
        <f t="shared" si="41"/>
        <v>13333.323550990463</v>
      </c>
      <c r="N82" s="605">
        <f t="shared" si="41"/>
        <v>13333.323550990463</v>
      </c>
      <c r="O82" s="643">
        <f t="shared" si="41"/>
        <v>18357.07502374169</v>
      </c>
      <c r="P82" s="644">
        <f t="shared" si="41"/>
        <v>18357.07502374169</v>
      </c>
      <c r="Q82" s="644">
        <f t="shared" si="41"/>
        <v>18357.07502374169</v>
      </c>
      <c r="R82" s="644">
        <f t="shared" si="41"/>
        <v>18357.07502374169</v>
      </c>
      <c r="S82" s="644">
        <f t="shared" si="41"/>
        <v>18357.07502374169</v>
      </c>
      <c r="T82" s="645">
        <f t="shared" si="41"/>
        <v>18357.07502374169</v>
      </c>
      <c r="U82" s="646">
        <f t="shared" si="41"/>
        <v>26010.583210966503</v>
      </c>
      <c r="V82" s="647">
        <f t="shared" si="41"/>
        <v>26010.583210966503</v>
      </c>
      <c r="W82" s="647">
        <f t="shared" si="41"/>
        <v>26010.583210966503</v>
      </c>
      <c r="X82" s="647">
        <f t="shared" si="41"/>
        <v>26010.583210966503</v>
      </c>
      <c r="Y82" s="647">
        <f t="shared" si="41"/>
        <v>26010.583210966503</v>
      </c>
      <c r="Z82" s="648">
        <f t="shared" si="41"/>
        <v>26010.583210966503</v>
      </c>
      <c r="AA82" s="646">
        <f t="shared" si="41"/>
        <v>24386.265060240967</v>
      </c>
      <c r="AB82" s="647">
        <f t="shared" si="41"/>
        <v>24386.265060240967</v>
      </c>
      <c r="AC82" s="647">
        <f t="shared" si="41"/>
        <v>24386.265060240967</v>
      </c>
      <c r="AD82" s="647">
        <f t="shared" si="41"/>
        <v>24386.265060240967</v>
      </c>
      <c r="AE82" s="647">
        <f t="shared" si="41"/>
        <v>24386.265060240967</v>
      </c>
      <c r="AF82" s="648">
        <f t="shared" si="41"/>
        <v>24386.265060240967</v>
      </c>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row>
    <row r="83" spans="1:107" s="12" customFormat="1" ht="13.5" thickBot="1">
      <c r="A83" s="424"/>
      <c r="B83" s="599" t="s">
        <v>137</v>
      </c>
      <c r="C83" s="606">
        <f>C82*C9</f>
        <v>121107.35777777777</v>
      </c>
      <c r="D83" s="607">
        <f aca="true" t="shared" si="42" ref="D83:AF83">D82*D9</f>
        <v>121508.69629629629</v>
      </c>
      <c r="E83" s="607">
        <f t="shared" si="42"/>
        <v>120678.34074074074</v>
      </c>
      <c r="F83" s="607">
        <f t="shared" si="42"/>
        <v>127321.18518518518</v>
      </c>
      <c r="G83" s="607">
        <f t="shared" si="42"/>
        <v>102964.0888888889</v>
      </c>
      <c r="H83" s="608">
        <f t="shared" si="42"/>
        <v>118048.88148148147</v>
      </c>
      <c r="I83" s="609">
        <f t="shared" si="42"/>
        <v>260776.34200792373</v>
      </c>
      <c r="J83" s="610">
        <f t="shared" si="42"/>
        <v>275357.13131034485</v>
      </c>
      <c r="K83" s="610">
        <f t="shared" si="42"/>
        <v>254106.48023477625</v>
      </c>
      <c r="L83" s="610">
        <f t="shared" si="42"/>
        <v>264298.47275715333</v>
      </c>
      <c r="M83" s="610">
        <f t="shared" si="42"/>
        <v>235941.16022890687</v>
      </c>
      <c r="N83" s="611">
        <f t="shared" si="42"/>
        <v>256082.47878503305</v>
      </c>
      <c r="O83" s="649">
        <f t="shared" si="42"/>
        <v>193930.27181386517</v>
      </c>
      <c r="P83" s="650">
        <f t="shared" si="42"/>
        <v>188541.1118708452</v>
      </c>
      <c r="Q83" s="650">
        <f t="shared" si="42"/>
        <v>199828.143019943</v>
      </c>
      <c r="R83" s="650">
        <f t="shared" si="42"/>
        <v>188859.05641025642</v>
      </c>
      <c r="S83" s="650">
        <f t="shared" si="42"/>
        <v>185997.55555555553</v>
      </c>
      <c r="T83" s="651">
        <f t="shared" si="42"/>
        <v>186156.52782526115</v>
      </c>
      <c r="U83" s="652">
        <f t="shared" si="42"/>
        <v>85296.50552372246</v>
      </c>
      <c r="V83" s="653">
        <f t="shared" si="42"/>
        <v>116956.58740811088</v>
      </c>
      <c r="W83" s="653">
        <f t="shared" si="42"/>
        <v>83793.09381412859</v>
      </c>
      <c r="X83" s="653">
        <f t="shared" si="42"/>
        <v>85119.63355788788</v>
      </c>
      <c r="Y83" s="653">
        <f t="shared" si="42"/>
        <v>76939.30513803891</v>
      </c>
      <c r="Z83" s="654">
        <f t="shared" si="42"/>
        <v>83793.09381412859</v>
      </c>
      <c r="AA83" s="652">
        <f t="shared" si="42"/>
        <v>79969.8790120482</v>
      </c>
      <c r="AB83" s="653">
        <f t="shared" si="42"/>
        <v>109652.84084337352</v>
      </c>
      <c r="AC83" s="653">
        <f t="shared" si="42"/>
        <v>78560.35289156628</v>
      </c>
      <c r="AD83" s="653">
        <f t="shared" si="42"/>
        <v>79804.05240963856</v>
      </c>
      <c r="AE83" s="653">
        <f t="shared" si="42"/>
        <v>72134.57204819277</v>
      </c>
      <c r="AF83" s="654">
        <f t="shared" si="42"/>
        <v>78560.35289156628</v>
      </c>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row>
    <row r="84" spans="1:32" ht="12.75">
      <c r="A84" s="424"/>
      <c r="B84" s="592" t="s">
        <v>5</v>
      </c>
      <c r="C84" s="612">
        <f>C76+C66+C57+C48+C39+C30+C21</f>
        <v>14.614258870543019</v>
      </c>
      <c r="D84" s="613">
        <f aca="true" t="shared" si="43" ref="D84:AF84">D76+D66+D57+D48+D39+D30+D21</f>
        <v>15.706960338340117</v>
      </c>
      <c r="E84" s="613">
        <f t="shared" si="43"/>
        <v>15.558733586397903</v>
      </c>
      <c r="F84" s="613">
        <f t="shared" si="43"/>
        <v>14.054584753652522</v>
      </c>
      <c r="G84" s="613">
        <f t="shared" si="43"/>
        <v>13.991963298375374</v>
      </c>
      <c r="H84" s="614">
        <f t="shared" si="43"/>
        <v>14.822951381021412</v>
      </c>
      <c r="I84" s="615">
        <f t="shared" si="43"/>
        <v>9.062010853166964</v>
      </c>
      <c r="J84" s="616">
        <f t="shared" si="43"/>
        <v>9.298722347672191</v>
      </c>
      <c r="K84" s="616">
        <f t="shared" si="43"/>
        <v>9.628177522156598</v>
      </c>
      <c r="L84" s="616">
        <f t="shared" si="43"/>
        <v>8.89209400213658</v>
      </c>
      <c r="M84" s="616">
        <f t="shared" si="43"/>
        <v>8.719241061310235</v>
      </c>
      <c r="N84" s="617">
        <f t="shared" si="43"/>
        <v>9.157049351000275</v>
      </c>
      <c r="O84" s="655">
        <f t="shared" si="43"/>
        <v>9.614693001467838</v>
      </c>
      <c r="P84" s="656">
        <f t="shared" si="43"/>
        <v>10.457083275880606</v>
      </c>
      <c r="Q84" s="656">
        <f t="shared" si="43"/>
        <v>10.038875135224256</v>
      </c>
      <c r="R84" s="656">
        <f t="shared" si="43"/>
        <v>9.591813515518043</v>
      </c>
      <c r="S84" s="656">
        <f t="shared" si="43"/>
        <v>8.763814341486459</v>
      </c>
      <c r="T84" s="657">
        <f t="shared" si="43"/>
        <v>9.827009845350833</v>
      </c>
      <c r="U84" s="658">
        <f t="shared" si="43"/>
        <v>23.41300724660823</v>
      </c>
      <c r="V84" s="659">
        <f t="shared" si="43"/>
        <v>21.633685276279095</v>
      </c>
      <c r="W84" s="659">
        <f t="shared" si="43"/>
        <v>24.953723782502585</v>
      </c>
      <c r="X84" s="659">
        <f t="shared" si="43"/>
        <v>23.0997959709123</v>
      </c>
      <c r="Y84" s="659">
        <f t="shared" si="43"/>
        <v>22.032989379458787</v>
      </c>
      <c r="Z84" s="660">
        <f t="shared" si="43"/>
        <v>23.636043564193734</v>
      </c>
      <c r="AA84" s="658">
        <f t="shared" si="43"/>
        <v>24.97249872838246</v>
      </c>
      <c r="AB84" s="659">
        <f t="shared" si="43"/>
        <v>23.074659840220654</v>
      </c>
      <c r="AC84" s="659">
        <f t="shared" si="43"/>
        <v>26.61583917278408</v>
      </c>
      <c r="AD84" s="659">
        <f t="shared" si="43"/>
        <v>24.63842510419372</v>
      </c>
      <c r="AE84" s="659">
        <f t="shared" si="43"/>
        <v>23.500560755206156</v>
      </c>
      <c r="AF84" s="660">
        <f t="shared" si="43"/>
        <v>25.210391028957986</v>
      </c>
    </row>
    <row r="85" spans="1:107" s="496" customFormat="1" ht="15.75" thickBot="1">
      <c r="A85" s="494"/>
      <c r="B85" s="689" t="s">
        <v>138</v>
      </c>
      <c r="C85" s="618">
        <v>23</v>
      </c>
      <c r="D85" s="619">
        <v>23</v>
      </c>
      <c r="E85" s="619">
        <v>23</v>
      </c>
      <c r="F85" s="619">
        <v>23</v>
      </c>
      <c r="G85" s="619">
        <v>23</v>
      </c>
      <c r="H85" s="620">
        <v>23</v>
      </c>
      <c r="I85" s="621">
        <v>12</v>
      </c>
      <c r="J85" s="622">
        <v>12</v>
      </c>
      <c r="K85" s="622">
        <v>12</v>
      </c>
      <c r="L85" s="622">
        <v>12</v>
      </c>
      <c r="M85" s="622">
        <v>12</v>
      </c>
      <c r="N85" s="623">
        <v>12</v>
      </c>
      <c r="O85" s="661">
        <v>20</v>
      </c>
      <c r="P85" s="662">
        <v>20</v>
      </c>
      <c r="Q85" s="662">
        <v>20</v>
      </c>
      <c r="R85" s="662">
        <v>20</v>
      </c>
      <c r="S85" s="662">
        <v>20</v>
      </c>
      <c r="T85" s="663">
        <v>20</v>
      </c>
      <c r="U85" s="664">
        <v>29</v>
      </c>
      <c r="V85" s="665">
        <v>29</v>
      </c>
      <c r="W85" s="665">
        <v>29</v>
      </c>
      <c r="X85" s="665">
        <v>29</v>
      </c>
      <c r="Y85" s="665">
        <v>29</v>
      </c>
      <c r="Z85" s="666">
        <v>29</v>
      </c>
      <c r="AA85" s="664">
        <v>30</v>
      </c>
      <c r="AB85" s="664">
        <v>30</v>
      </c>
      <c r="AC85" s="664">
        <v>30</v>
      </c>
      <c r="AD85" s="664">
        <v>30</v>
      </c>
      <c r="AE85" s="665">
        <v>30</v>
      </c>
      <c r="AF85" s="666">
        <v>30</v>
      </c>
      <c r="AG85" s="495"/>
      <c r="AH85" s="495"/>
      <c r="AI85" s="495"/>
      <c r="AJ85" s="495"/>
      <c r="AK85" s="495"/>
      <c r="AL85" s="495"/>
      <c r="AM85" s="495"/>
      <c r="AN85" s="495"/>
      <c r="AO85" s="495"/>
      <c r="AP85" s="495"/>
      <c r="AQ85" s="495"/>
      <c r="AR85" s="495"/>
      <c r="AS85" s="495"/>
      <c r="AT85" s="495"/>
      <c r="AU85" s="495"/>
      <c r="AV85" s="495"/>
      <c r="AW85" s="495"/>
      <c r="AX85" s="495"/>
      <c r="AY85" s="495"/>
      <c r="AZ85" s="495"/>
      <c r="BA85" s="495"/>
      <c r="BB85" s="495"/>
      <c r="BC85" s="495"/>
      <c r="BD85" s="495"/>
      <c r="BE85" s="495"/>
      <c r="BF85" s="495"/>
      <c r="BG85" s="495"/>
      <c r="BH85" s="495"/>
      <c r="BI85" s="495"/>
      <c r="BJ85" s="495"/>
      <c r="BK85" s="495"/>
      <c r="BL85" s="495"/>
      <c r="BM85" s="495"/>
      <c r="BN85" s="495"/>
      <c r="BO85" s="495"/>
      <c r="BP85" s="495"/>
      <c r="BQ85" s="495"/>
      <c r="BR85" s="495"/>
      <c r="BS85" s="495"/>
      <c r="BT85" s="495"/>
      <c r="BU85" s="495"/>
      <c r="BV85" s="495"/>
      <c r="BW85" s="495"/>
      <c r="BX85" s="495"/>
      <c r="BY85" s="495"/>
      <c r="BZ85" s="495"/>
      <c r="CA85" s="495"/>
      <c r="CB85" s="495"/>
      <c r="CC85" s="495"/>
      <c r="CD85" s="495"/>
      <c r="CE85" s="495"/>
      <c r="CF85" s="495"/>
      <c r="CG85" s="495"/>
      <c r="CH85" s="495"/>
      <c r="CI85" s="495"/>
      <c r="CJ85" s="495"/>
      <c r="CK85" s="495"/>
      <c r="CL85" s="495"/>
      <c r="CM85" s="495"/>
      <c r="CN85" s="495"/>
      <c r="CO85" s="495"/>
      <c r="CP85" s="495"/>
      <c r="CQ85" s="495"/>
      <c r="CR85" s="495"/>
      <c r="CS85" s="495"/>
      <c r="CT85" s="495"/>
      <c r="CU85" s="495"/>
      <c r="CV85" s="495"/>
      <c r="CW85" s="495"/>
      <c r="CX85" s="495"/>
      <c r="CY85" s="495"/>
      <c r="CZ85" s="495"/>
      <c r="DA85" s="495"/>
      <c r="DB85" s="495"/>
      <c r="DC85" s="495"/>
    </row>
    <row r="86" spans="1:32" ht="12.75">
      <c r="A86" s="424"/>
      <c r="B86" s="599" t="s">
        <v>8</v>
      </c>
      <c r="C86" s="624">
        <f aca="true" t="shared" si="44" ref="C86:AF86">C23+C32+C41+C50+C59+C68</f>
        <v>10719.396445161246</v>
      </c>
      <c r="D86" s="625">
        <f t="shared" si="44"/>
        <v>12250.142271076562</v>
      </c>
      <c r="E86" s="625">
        <f t="shared" si="44"/>
        <v>11943.706880218291</v>
      </c>
      <c r="F86" s="625">
        <f t="shared" si="44"/>
        <v>10414.091740020485</v>
      </c>
      <c r="G86" s="625">
        <f t="shared" si="44"/>
        <v>8606.376492696898</v>
      </c>
      <c r="H86" s="626">
        <f t="shared" si="44"/>
        <v>10701.579294206358</v>
      </c>
      <c r="I86" s="627">
        <f t="shared" si="44"/>
        <v>15792.843556033245</v>
      </c>
      <c r="J86" s="628">
        <f t="shared" si="44"/>
        <v>17271.74938194856</v>
      </c>
      <c r="K86" s="628">
        <f t="shared" si="44"/>
        <v>17055.141191090293</v>
      </c>
      <c r="L86" s="628">
        <f t="shared" si="44"/>
        <v>15435.871650892486</v>
      </c>
      <c r="M86" s="628">
        <f t="shared" si="44"/>
        <v>13691.401203568897</v>
      </c>
      <c r="N86" s="629">
        <f t="shared" si="44"/>
        <v>15780.268005078357</v>
      </c>
      <c r="O86" s="667">
        <f t="shared" si="44"/>
        <v>11308.862068433247</v>
      </c>
      <c r="P86" s="668">
        <f t="shared" si="44"/>
        <v>12789.927894348562</v>
      </c>
      <c r="Q86" s="668">
        <f t="shared" si="44"/>
        <v>12573.060503490293</v>
      </c>
      <c r="R86" s="668">
        <f t="shared" si="44"/>
        <v>10951.198963292485</v>
      </c>
      <c r="S86" s="668">
        <f t="shared" si="44"/>
        <v>9208.514115968897</v>
      </c>
      <c r="T86" s="669">
        <f t="shared" si="44"/>
        <v>11292.715317478358</v>
      </c>
      <c r="U86" s="670">
        <f t="shared" si="44"/>
        <v>11165.953954113247</v>
      </c>
      <c r="V86" s="671">
        <f t="shared" si="44"/>
        <v>12648.142980028564</v>
      </c>
      <c r="W86" s="671">
        <f t="shared" si="44"/>
        <v>12428.683589170294</v>
      </c>
      <c r="X86" s="671">
        <f t="shared" si="44"/>
        <v>10808.550048972487</v>
      </c>
      <c r="Y86" s="671">
        <f t="shared" si="44"/>
        <v>9064.943601648898</v>
      </c>
      <c r="Z86" s="672">
        <f t="shared" si="44"/>
        <v>11152.60080315836</v>
      </c>
      <c r="AA86" s="670">
        <f t="shared" si="44"/>
        <v>11165.953954113247</v>
      </c>
      <c r="AB86" s="671">
        <f t="shared" si="44"/>
        <v>12648.142980028564</v>
      </c>
      <c r="AC86" s="671">
        <f t="shared" si="44"/>
        <v>12428.683589170294</v>
      </c>
      <c r="AD86" s="671">
        <f t="shared" si="44"/>
        <v>10808.550048972487</v>
      </c>
      <c r="AE86" s="671">
        <f t="shared" si="44"/>
        <v>9064.943601648898</v>
      </c>
      <c r="AF86" s="672">
        <f t="shared" si="44"/>
        <v>11152.60080315836</v>
      </c>
    </row>
    <row r="87" spans="1:32" ht="12.75">
      <c r="A87" s="424"/>
      <c r="B87" s="599" t="s">
        <v>139</v>
      </c>
      <c r="C87" s="254">
        <f aca="true" t="shared" si="45" ref="C87:AF87">C86/(C80*C9)</f>
        <v>0.14410986905914952</v>
      </c>
      <c r="D87" s="143">
        <f t="shared" si="45"/>
        <v>0.1641450123419076</v>
      </c>
      <c r="E87" s="143">
        <f t="shared" si="45"/>
        <v>0.16114013599862778</v>
      </c>
      <c r="F87" s="143">
        <f t="shared" si="45"/>
        <v>0.13317252864476323</v>
      </c>
      <c r="G87" s="143">
        <f t="shared" si="45"/>
        <v>0.13609070987819255</v>
      </c>
      <c r="H87" s="630">
        <f t="shared" si="45"/>
        <v>0.14759781110552872</v>
      </c>
      <c r="I87" s="631">
        <f t="shared" si="45"/>
        <v>0.08672909126507863</v>
      </c>
      <c r="J87" s="84">
        <f t="shared" si="45"/>
        <v>0.08982819040013879</v>
      </c>
      <c r="K87" s="84">
        <f t="shared" si="45"/>
        <v>0.0961196609456549</v>
      </c>
      <c r="L87" s="84">
        <f t="shared" si="45"/>
        <v>0.08363906263095587</v>
      </c>
      <c r="M87" s="84">
        <f t="shared" si="45"/>
        <v>0.08310302600929002</v>
      </c>
      <c r="N87" s="632">
        <f t="shared" si="45"/>
        <v>0.0882484653195076</v>
      </c>
      <c r="O87" s="673">
        <f t="shared" si="45"/>
        <v>0.10704756275628209</v>
      </c>
      <c r="P87" s="161">
        <f t="shared" si="45"/>
        <v>0.12452757044608738</v>
      </c>
      <c r="Q87" s="161">
        <f t="shared" si="45"/>
        <v>0.11550155621352108</v>
      </c>
      <c r="R87" s="161">
        <f t="shared" si="45"/>
        <v>0.1064455074541847</v>
      </c>
      <c r="S87" s="161">
        <f t="shared" si="45"/>
        <v>0.09088365918525985</v>
      </c>
      <c r="T87" s="674">
        <f t="shared" si="45"/>
        <v>0.11135855654725889</v>
      </c>
      <c r="U87" s="675">
        <f t="shared" si="45"/>
        <v>0.22722595442520144</v>
      </c>
      <c r="V87" s="203">
        <f t="shared" si="45"/>
        <v>0.18771346282386117</v>
      </c>
      <c r="W87" s="203">
        <f t="shared" si="45"/>
        <v>0.2574602869032889</v>
      </c>
      <c r="X87" s="203">
        <f t="shared" si="45"/>
        <v>0.22040986846734664</v>
      </c>
      <c r="Y87" s="203">
        <f t="shared" si="45"/>
        <v>0.2045079472451694</v>
      </c>
      <c r="Z87" s="321">
        <f t="shared" si="45"/>
        <v>0.23102622107146956</v>
      </c>
      <c r="AA87" s="675">
        <f t="shared" si="45"/>
        <v>0.2760795346266197</v>
      </c>
      <c r="AB87" s="203">
        <f t="shared" si="45"/>
        <v>0.2280718573309913</v>
      </c>
      <c r="AC87" s="203">
        <f t="shared" si="45"/>
        <v>0.312814248587496</v>
      </c>
      <c r="AD87" s="203">
        <f t="shared" si="45"/>
        <v>0.26779799018782613</v>
      </c>
      <c r="AE87" s="203">
        <f t="shared" si="45"/>
        <v>0.24847715590288083</v>
      </c>
      <c r="AF87" s="321">
        <f t="shared" si="45"/>
        <v>0.28069685860183546</v>
      </c>
    </row>
    <row r="88" spans="1:32" ht="12.75">
      <c r="A88" s="424"/>
      <c r="B88" s="599" t="s">
        <v>93</v>
      </c>
      <c r="C88" s="254">
        <f aca="true" t="shared" si="46" ref="C88:AF88">C24+C33+C42+C51+C60+C69</f>
        <v>0.08477051121126442</v>
      </c>
      <c r="D88" s="143">
        <f t="shared" si="46"/>
        <v>0.0965558896128868</v>
      </c>
      <c r="E88" s="143">
        <f t="shared" si="46"/>
        <v>0.09478831529331047</v>
      </c>
      <c r="F88" s="143">
        <f t="shared" si="46"/>
        <v>0.0783367815557431</v>
      </c>
      <c r="G88" s="143">
        <f t="shared" si="46"/>
        <v>0.08005335875187797</v>
      </c>
      <c r="H88" s="630">
        <f t="shared" si="46"/>
        <v>0.08682224182678162</v>
      </c>
      <c r="I88" s="631">
        <f t="shared" si="46"/>
        <v>0.04749869095653394</v>
      </c>
      <c r="J88" s="84">
        <f t="shared" si="46"/>
        <v>0.0491959663449036</v>
      </c>
      <c r="K88" s="84">
        <f t="shared" si="46"/>
        <v>0.05264159930086575</v>
      </c>
      <c r="L88" s="84">
        <f t="shared" si="46"/>
        <v>0.04580638318531051</v>
      </c>
      <c r="M88" s="84">
        <f t="shared" si="46"/>
        <v>0.045512813433079724</v>
      </c>
      <c r="N88" s="632">
        <f t="shared" si="46"/>
        <v>0.04833080250764109</v>
      </c>
      <c r="O88" s="673">
        <f t="shared" si="46"/>
        <v>0.050022225587047706</v>
      </c>
      <c r="P88" s="161">
        <f t="shared" si="46"/>
        <v>0.05819045347948007</v>
      </c>
      <c r="Q88" s="161">
        <f t="shared" si="46"/>
        <v>0.05397268981940238</v>
      </c>
      <c r="R88" s="161">
        <f t="shared" si="46"/>
        <v>0.04974089133373117</v>
      </c>
      <c r="S88" s="161">
        <f t="shared" si="46"/>
        <v>0.0424689996192803</v>
      </c>
      <c r="T88" s="674">
        <f t="shared" si="46"/>
        <v>0.05203670866694342</v>
      </c>
      <c r="U88" s="675">
        <f t="shared" si="46"/>
        <v>0.12848984630421295</v>
      </c>
      <c r="V88" s="203">
        <f t="shared" si="46"/>
        <v>0.1061466505817192</v>
      </c>
      <c r="W88" s="203">
        <f t="shared" si="46"/>
        <v>0.14558650563191639</v>
      </c>
      <c r="X88" s="203">
        <f t="shared" si="46"/>
        <v>0.12463554260313921</v>
      </c>
      <c r="Y88" s="203">
        <f t="shared" si="46"/>
        <v>0.11564345620637223</v>
      </c>
      <c r="Z88" s="321">
        <f t="shared" si="46"/>
        <v>0.13063878953796118</v>
      </c>
      <c r="AA88" s="675">
        <f t="shared" si="46"/>
        <v>0.12848984630421295</v>
      </c>
      <c r="AB88" s="203">
        <f t="shared" si="46"/>
        <v>0.1061466505817192</v>
      </c>
      <c r="AC88" s="203">
        <f t="shared" si="46"/>
        <v>0.14558650563191639</v>
      </c>
      <c r="AD88" s="203">
        <f t="shared" si="46"/>
        <v>0.12463554260313921</v>
      </c>
      <c r="AE88" s="203">
        <f t="shared" si="46"/>
        <v>0.11564345620637223</v>
      </c>
      <c r="AF88" s="321">
        <f t="shared" si="46"/>
        <v>0.13063878953796118</v>
      </c>
    </row>
    <row r="89" spans="1:32" ht="13.5" thickBot="1">
      <c r="A89" s="424"/>
      <c r="B89" s="633" t="s">
        <v>140</v>
      </c>
      <c r="C89" s="256">
        <f aca="true" t="shared" si="47" ref="C89:AF89">C86/(C82*C9)</f>
        <v>0.08851152103268964</v>
      </c>
      <c r="D89" s="144">
        <f t="shared" si="47"/>
        <v>0.10081700030098964</v>
      </c>
      <c r="E89" s="144">
        <f t="shared" si="47"/>
        <v>0.09897142110925729</v>
      </c>
      <c r="F89" s="144">
        <f t="shared" si="47"/>
        <v>0.08179386427226132</v>
      </c>
      <c r="G89" s="144">
        <f t="shared" si="47"/>
        <v>0.08358619578505912</v>
      </c>
      <c r="H89" s="634">
        <f t="shared" si="47"/>
        <v>0.09065379662987433</v>
      </c>
      <c r="I89" s="635">
        <f t="shared" si="47"/>
        <v>0.060560875401624345</v>
      </c>
      <c r="J89" s="154">
        <f t="shared" si="47"/>
        <v>0.06272490310949023</v>
      </c>
      <c r="K89" s="154">
        <f t="shared" si="47"/>
        <v>0.06711808835151532</v>
      </c>
      <c r="L89" s="154">
        <f t="shared" si="47"/>
        <v>0.05840318141026681</v>
      </c>
      <c r="M89" s="154">
        <f t="shared" si="47"/>
        <v>0.05802887970155647</v>
      </c>
      <c r="N89" s="636">
        <f t="shared" si="47"/>
        <v>0.06162181840767408</v>
      </c>
      <c r="O89" s="676">
        <f t="shared" si="47"/>
        <v>0.058314062898274725</v>
      </c>
      <c r="P89" s="162">
        <f t="shared" si="47"/>
        <v>0.06783628126214691</v>
      </c>
      <c r="Q89" s="162">
        <f t="shared" si="47"/>
        <v>0.06291936818046441</v>
      </c>
      <c r="R89" s="162">
        <f t="shared" si="47"/>
        <v>0.05798609381751499</v>
      </c>
      <c r="S89" s="162">
        <f t="shared" si="47"/>
        <v>0.04950879106160301</v>
      </c>
      <c r="T89" s="677">
        <f t="shared" si="47"/>
        <v>0.06066247286304378</v>
      </c>
      <c r="U89" s="678">
        <f t="shared" si="47"/>
        <v>0.13090751942947768</v>
      </c>
      <c r="V89" s="204">
        <f t="shared" si="47"/>
        <v>0.10814391271432927</v>
      </c>
      <c r="W89" s="204">
        <f t="shared" si="47"/>
        <v>0.14832587058713734</v>
      </c>
      <c r="X89" s="204">
        <f t="shared" si="47"/>
        <v>0.12698069290467334</v>
      </c>
      <c r="Y89" s="204">
        <f t="shared" si="47"/>
        <v>0.11781941083800061</v>
      </c>
      <c r="Z89" s="322">
        <f t="shared" si="47"/>
        <v>0.1330968973158727</v>
      </c>
      <c r="AA89" s="678">
        <f t="shared" si="47"/>
        <v>0.1396269957146114</v>
      </c>
      <c r="AB89" s="204">
        <f t="shared" si="47"/>
        <v>0.11534715272990495</v>
      </c>
      <c r="AC89" s="204">
        <f t="shared" si="47"/>
        <v>0.15820554684021226</v>
      </c>
      <c r="AD89" s="204">
        <f t="shared" si="47"/>
        <v>0.13543861148167777</v>
      </c>
      <c r="AE89" s="204">
        <f t="shared" si="47"/>
        <v>0.1256671155627381</v>
      </c>
      <c r="AF89" s="322">
        <f t="shared" si="47"/>
        <v>0.14196220348643102</v>
      </c>
    </row>
    <row r="92" spans="2:8" ht="12.75">
      <c r="B92" s="147" t="s">
        <v>162</v>
      </c>
      <c r="C92" s="699">
        <f>C72/C26/1000*28/44</f>
        <v>0.01919094281920644</v>
      </c>
      <c r="D92" s="699">
        <f>D72/D26/1000*28/44</f>
        <v>0.016235434588889926</v>
      </c>
      <c r="E92" s="699">
        <f>E72/E26/1000*28/44</f>
        <v>0.016541957791933407</v>
      </c>
      <c r="F92" s="699">
        <f>F72/F26/1000*28/44</f>
        <v>0.020772961105422927</v>
      </c>
      <c r="G92" s="699">
        <f>G72/G26/1000*28/44</f>
        <v>0.023262920476252235</v>
      </c>
      <c r="H92" s="699">
        <f>H72/H26/1000*28/44</f>
        <v>0.018416913755857224</v>
      </c>
    </row>
    <row r="93" spans="2:32" ht="12.75">
      <c r="B93" s="147" t="s">
        <v>162</v>
      </c>
      <c r="C93" s="699">
        <f>C10/C26*C71*28/44/1000</f>
        <v>0.01919094281920644</v>
      </c>
      <c r="D93" s="702">
        <f>D10/D26*D71*28/44/1000</f>
        <v>0.016235434588889923</v>
      </c>
      <c r="E93" s="699">
        <f aca="true" t="shared" si="48" ref="E93:AF93">E10/E26*E71*28/44/1000</f>
        <v>0.01654195779193341</v>
      </c>
      <c r="F93" s="699">
        <f t="shared" si="48"/>
        <v>0.020772961105422927</v>
      </c>
      <c r="G93" s="699">
        <f t="shared" si="48"/>
        <v>0.023262920476252235</v>
      </c>
      <c r="H93" s="699">
        <f t="shared" si="48"/>
        <v>0.018416913755857228</v>
      </c>
      <c r="I93" s="699">
        <f t="shared" si="48"/>
        <v>0.025016314706699804</v>
      </c>
      <c r="J93" s="699">
        <f t="shared" si="48"/>
        <v>0.022273180981549616</v>
      </c>
      <c r="K93" s="699">
        <f t="shared" si="48"/>
        <v>0.021086411577791876</v>
      </c>
      <c r="L93" s="699">
        <f t="shared" si="48"/>
        <v>0.026104882891156873</v>
      </c>
      <c r="M93" s="702">
        <f t="shared" si="48"/>
        <v>0.03227093334432829</v>
      </c>
      <c r="N93" s="699">
        <f t="shared" si="48"/>
        <v>0.024186008615651396</v>
      </c>
      <c r="O93" s="699">
        <f t="shared" si="48"/>
        <v>0.020353669108631525</v>
      </c>
      <c r="P93" s="699">
        <f t="shared" si="48"/>
        <v>0.016685297032189256</v>
      </c>
      <c r="Q93" s="699">
        <f t="shared" si="48"/>
        <v>0.018142016270090242</v>
      </c>
      <c r="R93" s="699">
        <f t="shared" si="48"/>
        <v>0.020408301997003893</v>
      </c>
      <c r="S93" s="699">
        <f t="shared" si="48"/>
        <v>0.02783280732979156</v>
      </c>
      <c r="T93" s="699">
        <f t="shared" si="48"/>
        <v>0.01923554825883518</v>
      </c>
      <c r="U93" s="699">
        <f t="shared" si="48"/>
        <v>0.023415305232799503</v>
      </c>
      <c r="V93" s="699">
        <f t="shared" si="48"/>
        <v>0.02707223099200238</v>
      </c>
      <c r="W93" s="699">
        <f t="shared" si="48"/>
        <v>0.019897962403470686</v>
      </c>
      <c r="X93" s="699">
        <f t="shared" si="48"/>
        <v>0.024058596181324075</v>
      </c>
      <c r="Y93" s="699">
        <f t="shared" si="48"/>
        <v>0.03011407426001805</v>
      </c>
      <c r="Z93" s="699">
        <f t="shared" si="48"/>
        <v>0.022646756248140956</v>
      </c>
      <c r="AA93" s="699">
        <f t="shared" si="48"/>
        <v>0.023415305232799503</v>
      </c>
      <c r="AB93" s="699">
        <f t="shared" si="48"/>
        <v>0.02707223099200238</v>
      </c>
      <c r="AC93" s="699">
        <f t="shared" si="48"/>
        <v>0.019897962403470686</v>
      </c>
      <c r="AD93" s="699">
        <f t="shared" si="48"/>
        <v>0.024058596181324075</v>
      </c>
      <c r="AE93" s="699">
        <f t="shared" si="48"/>
        <v>0.03011407426001805</v>
      </c>
      <c r="AF93" s="699">
        <f t="shared" si="48"/>
        <v>0.022646756248140956</v>
      </c>
    </row>
    <row r="94" spans="3:5" ht="12.75">
      <c r="C94" s="700"/>
      <c r="D94" s="700" t="s">
        <v>164</v>
      </c>
      <c r="E94" s="700" t="s">
        <v>165</v>
      </c>
    </row>
    <row r="95" spans="3:5" ht="12.75">
      <c r="C95" s="700" t="s">
        <v>163</v>
      </c>
      <c r="D95" s="701">
        <f>MIN(C93:AF93)</f>
        <v>0.016235434588889923</v>
      </c>
      <c r="E95" s="701">
        <f>MAX(C93:AF93)</f>
        <v>0.03227093334432829</v>
      </c>
    </row>
    <row r="99" spans="2:32" ht="12.75">
      <c r="B99" s="146" t="s">
        <v>40</v>
      </c>
      <c r="C99" s="703">
        <f>C26*C93*44/28*C73/C10*1000</f>
        <v>6.985600000000001</v>
      </c>
      <c r="D99" s="703">
        <f aca="true" t="shared" si="49" ref="D99:AF99">D26*D93*44/28*D73/D10*1000</f>
        <v>6.985599999999999</v>
      </c>
      <c r="E99" s="703">
        <f t="shared" si="49"/>
        <v>6.9856</v>
      </c>
      <c r="F99" s="703">
        <f t="shared" si="49"/>
        <v>6.985600000000001</v>
      </c>
      <c r="G99" s="703">
        <f t="shared" si="49"/>
        <v>6.985600000000001</v>
      </c>
      <c r="H99" s="703">
        <f t="shared" si="49"/>
        <v>6.985600000000002</v>
      </c>
      <c r="I99" s="703">
        <f t="shared" si="49"/>
        <v>3.463199999999999</v>
      </c>
      <c r="J99" s="703">
        <f t="shared" si="49"/>
        <v>3.4632000000000005</v>
      </c>
      <c r="K99" s="703">
        <f t="shared" si="49"/>
        <v>3.4632000000000014</v>
      </c>
      <c r="L99" s="703">
        <f t="shared" si="49"/>
        <v>3.4632</v>
      </c>
      <c r="M99" s="703">
        <f t="shared" si="49"/>
        <v>3.463199999999999</v>
      </c>
      <c r="N99" s="703">
        <f t="shared" si="49"/>
        <v>3.4631999999999996</v>
      </c>
      <c r="O99" s="703">
        <f t="shared" si="49"/>
        <v>4.144</v>
      </c>
      <c r="P99" s="703">
        <f t="shared" si="49"/>
        <v>4.143999999999999</v>
      </c>
      <c r="Q99" s="703">
        <f t="shared" si="49"/>
        <v>4.144</v>
      </c>
      <c r="R99" s="703">
        <f t="shared" si="49"/>
        <v>4.144000000000001</v>
      </c>
      <c r="S99" s="703">
        <f t="shared" si="49"/>
        <v>4.143999999999999</v>
      </c>
      <c r="T99" s="703">
        <f t="shared" si="49"/>
        <v>4.144000000000001</v>
      </c>
      <c r="U99" s="703">
        <f t="shared" si="49"/>
        <v>12.402399999999998</v>
      </c>
      <c r="V99" s="703">
        <f t="shared" si="49"/>
        <v>12.402399999999998</v>
      </c>
      <c r="W99" s="703">
        <f t="shared" si="49"/>
        <v>12.4024</v>
      </c>
      <c r="X99" s="703">
        <f t="shared" si="49"/>
        <v>12.4024</v>
      </c>
      <c r="Y99" s="703">
        <f t="shared" si="49"/>
        <v>12.402399999999998</v>
      </c>
      <c r="Z99" s="703">
        <f t="shared" si="49"/>
        <v>12.4024</v>
      </c>
      <c r="AA99" s="703">
        <f t="shared" si="49"/>
        <v>12.402399999999998</v>
      </c>
      <c r="AB99" s="703">
        <f t="shared" si="49"/>
        <v>12.402399999999998</v>
      </c>
      <c r="AC99" s="703">
        <f t="shared" si="49"/>
        <v>12.4024</v>
      </c>
      <c r="AD99" s="703">
        <f t="shared" si="49"/>
        <v>12.4024</v>
      </c>
      <c r="AE99" s="703">
        <f t="shared" si="49"/>
        <v>12.402399999999998</v>
      </c>
      <c r="AF99" s="703">
        <f t="shared" si="49"/>
        <v>12.4024</v>
      </c>
    </row>
    <row r="100" spans="1:32" ht="12.75">
      <c r="A100" s="706"/>
      <c r="B100" s="707" t="s">
        <v>40</v>
      </c>
      <c r="C100" s="708">
        <f>C26*C27/C10</f>
        <v>4.123340929389112</v>
      </c>
      <c r="D100" s="708">
        <f aca="true" t="shared" si="50" ref="D100:AF100">D26*D27/D10</f>
        <v>4.873956380209867</v>
      </c>
      <c r="E100" s="708">
        <f t="shared" si="50"/>
        <v>4.783641754822254</v>
      </c>
      <c r="F100" s="708">
        <f t="shared" si="50"/>
        <v>3.8093172946509952</v>
      </c>
      <c r="G100" s="708">
        <f t="shared" si="50"/>
        <v>3.4015849420445745</v>
      </c>
      <c r="H100" s="708">
        <f t="shared" si="50"/>
        <v>4.296637376326619</v>
      </c>
      <c r="I100" s="708">
        <f t="shared" si="50"/>
        <v>1.5681806237228655</v>
      </c>
      <c r="J100" s="708">
        <f t="shared" si="50"/>
        <v>1.7613155495165669</v>
      </c>
      <c r="K100" s="708">
        <f t="shared" si="50"/>
        <v>1.8604445737612838</v>
      </c>
      <c r="L100" s="708">
        <f t="shared" si="50"/>
        <v>1.5027878180326693</v>
      </c>
      <c r="M100" s="708">
        <f t="shared" si="50"/>
        <v>1.2156481370221912</v>
      </c>
      <c r="N100" s="708">
        <f t="shared" si="50"/>
        <v>1.6220162914608895</v>
      </c>
      <c r="O100" s="708">
        <f t="shared" si="50"/>
        <v>2.306316357481363</v>
      </c>
      <c r="P100" s="708">
        <f t="shared" si="50"/>
        <v>2.8133751475589284</v>
      </c>
      <c r="Q100" s="708">
        <f t="shared" si="50"/>
        <v>2.5874742532003308</v>
      </c>
      <c r="R100" s="708">
        <f t="shared" si="50"/>
        <v>2.300142363969892</v>
      </c>
      <c r="S100" s="708">
        <f t="shared" si="50"/>
        <v>1.6865707955285711</v>
      </c>
      <c r="T100" s="708">
        <f t="shared" si="50"/>
        <v>2.440377543095962</v>
      </c>
      <c r="U100" s="708">
        <f t="shared" si="50"/>
        <v>5.999951681313321</v>
      </c>
      <c r="V100" s="708">
        <f t="shared" si="50"/>
        <v>5.1894762585877565</v>
      </c>
      <c r="W100" s="708">
        <f t="shared" si="50"/>
        <v>7.060557113903031</v>
      </c>
      <c r="X100" s="708">
        <f t="shared" si="50"/>
        <v>5.839521929756586</v>
      </c>
      <c r="Y100" s="708">
        <f t="shared" si="50"/>
        <v>4.665283707111233</v>
      </c>
      <c r="Z100" s="708">
        <f t="shared" si="50"/>
        <v>6.20356833714465</v>
      </c>
      <c r="AA100" s="708">
        <f t="shared" si="50"/>
        <v>5.999951681313321</v>
      </c>
      <c r="AB100" s="708">
        <f t="shared" si="50"/>
        <v>5.1894762585877565</v>
      </c>
      <c r="AC100" s="708">
        <f t="shared" si="50"/>
        <v>7.060557113903031</v>
      </c>
      <c r="AD100" s="708">
        <f t="shared" si="50"/>
        <v>5.839521929756586</v>
      </c>
      <c r="AE100" s="708">
        <f t="shared" si="50"/>
        <v>4.665283707111233</v>
      </c>
      <c r="AF100" s="708">
        <f t="shared" si="50"/>
        <v>6.20356833714465</v>
      </c>
    </row>
    <row r="103" spans="2:32" ht="12.75">
      <c r="B103" s="146" t="s">
        <v>18</v>
      </c>
      <c r="C103" s="710">
        <f aca="true" t="shared" si="51" ref="C103:AF103">C72</f>
        <v>2984.2660199999996</v>
      </c>
      <c r="D103" s="710">
        <f t="shared" si="51"/>
        <v>2994.1555999999996</v>
      </c>
      <c r="E103" s="710">
        <f t="shared" si="51"/>
        <v>2973.6944</v>
      </c>
      <c r="F103" s="710">
        <f t="shared" si="51"/>
        <v>3137.384</v>
      </c>
      <c r="G103" s="710">
        <f t="shared" si="51"/>
        <v>2537.1888000000004</v>
      </c>
      <c r="H103" s="710">
        <f t="shared" si="51"/>
        <v>2908.9005999999995</v>
      </c>
      <c r="I103" s="710">
        <f t="shared" si="51"/>
        <v>3890.133936</v>
      </c>
      <c r="J103" s="710">
        <f t="shared" si="51"/>
        <v>4107.6430199999995</v>
      </c>
      <c r="K103" s="710">
        <f t="shared" si="51"/>
        <v>3790.6362</v>
      </c>
      <c r="L103" s="710">
        <f t="shared" si="51"/>
        <v>3942.67536</v>
      </c>
      <c r="M103" s="710">
        <f t="shared" si="51"/>
        <v>3519.654840000001</v>
      </c>
      <c r="N103" s="710">
        <f t="shared" si="51"/>
        <v>3820.113180000001</v>
      </c>
      <c r="O103" s="710">
        <f t="shared" si="51"/>
        <v>3165.0744664</v>
      </c>
      <c r="P103" s="710">
        <f t="shared" si="51"/>
        <v>3077.1196959999997</v>
      </c>
      <c r="Q103" s="710">
        <f t="shared" si="51"/>
        <v>3261.3317519999996</v>
      </c>
      <c r="R103" s="710">
        <f t="shared" si="51"/>
        <v>3082.3087680000003</v>
      </c>
      <c r="S103" s="710">
        <f t="shared" si="51"/>
        <v>3035.6071199999997</v>
      </c>
      <c r="T103" s="710">
        <f t="shared" si="51"/>
        <v>3038.2016559999997</v>
      </c>
      <c r="U103" s="710">
        <f t="shared" si="51"/>
        <v>3641.1707549999996</v>
      </c>
      <c r="V103" s="710">
        <f t="shared" si="51"/>
        <v>4992.688775</v>
      </c>
      <c r="W103" s="710">
        <f t="shared" si="51"/>
        <v>3576.992525</v>
      </c>
      <c r="X103" s="710">
        <f t="shared" si="51"/>
        <v>3633.620375</v>
      </c>
      <c r="Y103" s="710">
        <f t="shared" si="51"/>
        <v>3284.415299999999</v>
      </c>
      <c r="Z103" s="710">
        <f t="shared" si="51"/>
        <v>3576.992525</v>
      </c>
      <c r="AA103" s="710">
        <f t="shared" si="51"/>
        <v>3641.1707549999996</v>
      </c>
      <c r="AB103" s="710">
        <f t="shared" si="51"/>
        <v>4992.688775</v>
      </c>
      <c r="AC103" s="710">
        <f t="shared" si="51"/>
        <v>3576.992525</v>
      </c>
      <c r="AD103" s="710">
        <f t="shared" si="51"/>
        <v>3633.620375</v>
      </c>
      <c r="AE103" s="710">
        <f t="shared" si="51"/>
        <v>3284.415299999999</v>
      </c>
      <c r="AF103" s="710">
        <f t="shared" si="51"/>
        <v>3576.992525</v>
      </c>
    </row>
    <row r="104" spans="2:32" ht="12.75">
      <c r="B104" s="712" t="s">
        <v>167</v>
      </c>
      <c r="C104" s="711">
        <f>C26*'Données RW'!$C$80*C10</f>
        <v>2701.866889986581</v>
      </c>
      <c r="D104" s="711">
        <f>D26*'Données RW'!$C$80*D10</f>
        <v>3214.91878703632</v>
      </c>
      <c r="E104" s="711">
        <f>E26*'Données RW'!$C$80*E10</f>
        <v>3112.3680938827783</v>
      </c>
      <c r="F104" s="711">
        <f>F26*'Données RW'!$C$80*F10</f>
        <v>2758.812212182367</v>
      </c>
      <c r="G104" s="711">
        <f>G26*'Données RW'!$C$80*G10</f>
        <v>1611.1149516578669</v>
      </c>
      <c r="H104" s="711">
        <f>H26*'Données RW'!$C$80*H10</f>
        <v>2675.0142569430845</v>
      </c>
      <c r="I104" s="711">
        <f>I26*'Données RW'!$I$80*I10</f>
        <v>3229.496930672672</v>
      </c>
      <c r="J104" s="711">
        <f>J26*'Données RW'!$I$80*J10</f>
        <v>4044.1964235606874</v>
      </c>
      <c r="K104" s="711">
        <f>K26*'Données RW'!$I$80*K10</f>
        <v>3637.898952852748</v>
      </c>
      <c r="L104" s="711">
        <f>L26*'Données RW'!$I$80*L10</f>
        <v>3178.991653261684</v>
      </c>
      <c r="M104" s="711">
        <f>M26*'Données RW'!$I$80*M10</f>
        <v>2049.3574970609848</v>
      </c>
      <c r="N104" s="711">
        <f>N26*'Données RW'!$I$80*N10</f>
        <v>3221.1975228481524</v>
      </c>
      <c r="O104" s="711">
        <f>O26*'Données RW'!$O$80*O10</f>
        <v>6058.14922322303</v>
      </c>
      <c r="P104" s="711">
        <f>P26*'Données RW'!$O$80*P10</f>
        <v>6985.052096026735</v>
      </c>
      <c r="Q104" s="711">
        <f>Q26*'Données RW'!$O$80*Q10</f>
        <v>7216.377057683577</v>
      </c>
      <c r="R104" s="711">
        <f>R26*'Données RW'!$O$80*R10</f>
        <v>5730.073898268992</v>
      </c>
      <c r="S104" s="711">
        <f>S26*'Données RW'!$O$80*S10</f>
        <v>4075.199966959216</v>
      </c>
      <c r="T104" s="711">
        <f>T26*'Données RW'!$O$80*T10</f>
        <v>5906.679885392692</v>
      </c>
      <c r="U104" s="711">
        <f>U26*'Données RW'!$U$80*U10</f>
        <v>2622.4118007221505</v>
      </c>
      <c r="V104" s="711">
        <f>V26*'Données RW'!$U$80*V10</f>
        <v>4264.4552801352775</v>
      </c>
      <c r="W104" s="711">
        <f>W26*'Données RW'!$U$80*W10</f>
        <v>2978.1466628323556</v>
      </c>
      <c r="X104" s="711">
        <f>X26*'Données RW'!$U$80*X10</f>
        <v>2541.71846341187</v>
      </c>
      <c r="Y104" s="711">
        <f>Y26*'Données RW'!$U$80*Y10</f>
        <v>1659.0720168201976</v>
      </c>
      <c r="Z104" s="711">
        <f>Z26*'Données RW'!$U$80*Z10</f>
        <v>2616.6683510767416</v>
      </c>
      <c r="AA104" s="711">
        <f>AA26*'Données RW'!$AA$80*AA10</f>
        <v>2622.4118007221505</v>
      </c>
      <c r="AB104" s="711">
        <f>AB26*'Données RW'!$AA$80*AB10</f>
        <v>4264.4552801352775</v>
      </c>
      <c r="AC104" s="711">
        <f>AC26*'Données RW'!$AA$80*AC10</f>
        <v>2978.1466628323556</v>
      </c>
      <c r="AD104" s="711">
        <f>AD26*'Données RW'!$AA$80*AD10</f>
        <v>2541.71846341187</v>
      </c>
      <c r="AE104" s="711">
        <f>AE26*'Données RW'!$AA$80*AE10</f>
        <v>1659.0720168201976</v>
      </c>
      <c r="AF104" s="711">
        <f>AF26*'Données RW'!$AA$80*AF10</f>
        <v>2616.6683510767416</v>
      </c>
    </row>
    <row r="106" spans="2:32" ht="12.75">
      <c r="B106" s="704" t="s">
        <v>168</v>
      </c>
      <c r="C106" s="711">
        <f>C103-C104</f>
        <v>282.39913001341847</v>
      </c>
      <c r="D106" s="713">
        <f aca="true" t="shared" si="52" ref="D106:AF106">D103-D104</f>
        <v>-220.76318703632023</v>
      </c>
      <c r="E106" s="713">
        <f t="shared" si="52"/>
        <v>-138.67369388277848</v>
      </c>
      <c r="F106" s="711">
        <f t="shared" si="52"/>
        <v>378.57178781763287</v>
      </c>
      <c r="G106" s="711">
        <f t="shared" si="52"/>
        <v>926.0738483421335</v>
      </c>
      <c r="H106" s="711">
        <f t="shared" si="52"/>
        <v>233.88634305691494</v>
      </c>
      <c r="I106" s="711">
        <f t="shared" si="52"/>
        <v>660.6370053273281</v>
      </c>
      <c r="J106" s="711">
        <f t="shared" si="52"/>
        <v>63.44659643931209</v>
      </c>
      <c r="K106" s="711">
        <f t="shared" si="52"/>
        <v>152.73724714725176</v>
      </c>
      <c r="L106" s="711">
        <f t="shared" si="52"/>
        <v>763.6837067383162</v>
      </c>
      <c r="M106" s="711">
        <f t="shared" si="52"/>
        <v>1470.2973429390163</v>
      </c>
      <c r="N106" s="711">
        <f t="shared" si="52"/>
        <v>598.9156571518488</v>
      </c>
      <c r="O106" s="713">
        <f t="shared" si="52"/>
        <v>-2893.0747568230304</v>
      </c>
      <c r="P106" s="713">
        <f t="shared" si="52"/>
        <v>-3907.932400026735</v>
      </c>
      <c r="Q106" s="713">
        <f t="shared" si="52"/>
        <v>-3955.045305683577</v>
      </c>
      <c r="R106" s="713">
        <f t="shared" si="52"/>
        <v>-2647.7651302689915</v>
      </c>
      <c r="S106" s="713">
        <f t="shared" si="52"/>
        <v>-1039.5928469592163</v>
      </c>
      <c r="T106" s="713">
        <f t="shared" si="52"/>
        <v>-2868.4782293926924</v>
      </c>
      <c r="U106" s="711">
        <f t="shared" si="52"/>
        <v>1018.7589542778492</v>
      </c>
      <c r="V106" s="711">
        <f t="shared" si="52"/>
        <v>728.2334948647222</v>
      </c>
      <c r="W106" s="711">
        <f t="shared" si="52"/>
        <v>598.8458621676446</v>
      </c>
      <c r="X106" s="711">
        <f t="shared" si="52"/>
        <v>1091.9019115881301</v>
      </c>
      <c r="Y106" s="711">
        <f t="shared" si="52"/>
        <v>1625.3432831798016</v>
      </c>
      <c r="Z106" s="711">
        <f t="shared" si="52"/>
        <v>960.3241739232585</v>
      </c>
      <c r="AA106" s="711">
        <f t="shared" si="52"/>
        <v>1018.7589542778492</v>
      </c>
      <c r="AB106" s="711">
        <f t="shared" si="52"/>
        <v>728.2334948647222</v>
      </c>
      <c r="AC106" s="711">
        <f t="shared" si="52"/>
        <v>598.8458621676446</v>
      </c>
      <c r="AD106" s="711">
        <f t="shared" si="52"/>
        <v>1091.9019115881301</v>
      </c>
      <c r="AE106" s="711">
        <f t="shared" si="52"/>
        <v>1625.3432831798016</v>
      </c>
      <c r="AF106" s="711">
        <f t="shared" si="52"/>
        <v>960.3241739232585</v>
      </c>
    </row>
    <row r="108" spans="2:32" ht="13.5" thickBot="1">
      <c r="B108" s="238" t="s">
        <v>40</v>
      </c>
      <c r="C108" s="703">
        <f>C104*C73/C83</f>
        <v>6.603666483282622</v>
      </c>
      <c r="D108" s="703">
        <f aca="true" t="shared" si="53" ref="D108:AF108">D104*D73/D83</f>
        <v>7.831669583897568</v>
      </c>
      <c r="E108" s="703">
        <f t="shared" si="53"/>
        <v>7.634020737561291</v>
      </c>
      <c r="F108" s="703">
        <f t="shared" si="53"/>
        <v>6.41376699108044</v>
      </c>
      <c r="G108" s="703">
        <f t="shared" si="53"/>
        <v>4.631615069263153</v>
      </c>
      <c r="H108" s="703">
        <f t="shared" si="53"/>
        <v>6.707426704245094</v>
      </c>
      <c r="I108" s="703">
        <f t="shared" si="53"/>
        <v>3.665712480352473</v>
      </c>
      <c r="J108" s="703">
        <f t="shared" si="53"/>
        <v>4.347380202856546</v>
      </c>
      <c r="K108" s="703">
        <f t="shared" si="53"/>
        <v>4.237664812993003</v>
      </c>
      <c r="L108" s="703">
        <f t="shared" si="53"/>
        <v>3.5602987771710097</v>
      </c>
      <c r="M108" s="703">
        <f t="shared" si="53"/>
        <v>2.5710215993747214</v>
      </c>
      <c r="N108" s="703">
        <f t="shared" si="53"/>
        <v>3.7233100495072984</v>
      </c>
      <c r="O108" s="703">
        <f t="shared" si="53"/>
        <v>9.246685178656106</v>
      </c>
      <c r="P108" s="703">
        <f t="shared" si="53"/>
        <v>10.966178144956778</v>
      </c>
      <c r="Q108" s="703">
        <f t="shared" si="53"/>
        <v>10.689423305410788</v>
      </c>
      <c r="R108" s="703">
        <f t="shared" si="53"/>
        <v>8.980781256278219</v>
      </c>
      <c r="S108" s="703">
        <f t="shared" si="53"/>
        <v>6.485349695144951</v>
      </c>
      <c r="T108" s="703">
        <f t="shared" si="53"/>
        <v>9.391973875433365</v>
      </c>
      <c r="U108" s="703">
        <f t="shared" si="53"/>
        <v>9.100418454984327</v>
      </c>
      <c r="V108" s="703">
        <f t="shared" si="53"/>
        <v>10.792711987358343</v>
      </c>
      <c r="W108" s="703">
        <f t="shared" si="53"/>
        <v>10.520334935404184</v>
      </c>
      <c r="X108" s="703">
        <f t="shared" si="53"/>
        <v>8.838720677271931</v>
      </c>
      <c r="Y108" s="703">
        <f t="shared" si="53"/>
        <v>6.382762569764686</v>
      </c>
      <c r="Z108" s="703">
        <f t="shared" si="53"/>
        <v>9.243408933399701</v>
      </c>
      <c r="AA108" s="703">
        <f t="shared" si="53"/>
        <v>9.706578309275793</v>
      </c>
      <c r="AB108" s="703">
        <f t="shared" si="53"/>
        <v>11.51159197711131</v>
      </c>
      <c r="AC108" s="703">
        <f t="shared" si="53"/>
        <v>11.221072458968202</v>
      </c>
      <c r="AD108" s="703">
        <f t="shared" si="53"/>
        <v>9.427449389513036</v>
      </c>
      <c r="AE108" s="703">
        <f t="shared" si="53"/>
        <v>6.807905045179816</v>
      </c>
      <c r="AF108" s="703">
        <f t="shared" si="53"/>
        <v>9.859093084622133</v>
      </c>
    </row>
    <row r="109" spans="2:32" ht="12.75">
      <c r="B109" s="704" t="s">
        <v>169</v>
      </c>
      <c r="C109" s="703">
        <f>C76-C108</f>
        <v>0.690215227363419</v>
      </c>
      <c r="D109" s="714">
        <f aca="true" t="shared" si="54" ref="D109:AF109">D76-D108</f>
        <v>-0.5377878732515269</v>
      </c>
      <c r="E109" s="714">
        <f t="shared" si="54"/>
        <v>-0.34013902691524933</v>
      </c>
      <c r="F109" s="703">
        <f t="shared" si="54"/>
        <v>0.8801147195656025</v>
      </c>
      <c r="G109" s="703">
        <f t="shared" si="54"/>
        <v>2.6622666413828897</v>
      </c>
      <c r="H109" s="703">
        <f t="shared" si="54"/>
        <v>0.5864550064009473</v>
      </c>
      <c r="I109" s="703">
        <f t="shared" si="54"/>
        <v>0.7498707592537186</v>
      </c>
      <c r="J109" s="703">
        <f t="shared" si="54"/>
        <v>0.06820303674964556</v>
      </c>
      <c r="K109" s="703">
        <f t="shared" si="54"/>
        <v>0.17791842661318835</v>
      </c>
      <c r="L109" s="703">
        <f t="shared" si="54"/>
        <v>0.8552844624351827</v>
      </c>
      <c r="M109" s="703">
        <f t="shared" si="54"/>
        <v>1.844561640231471</v>
      </c>
      <c r="N109" s="703">
        <f t="shared" si="54"/>
        <v>0.692273190098895</v>
      </c>
      <c r="O109" s="714">
        <f t="shared" si="54"/>
        <v>-4.415763047254141</v>
      </c>
      <c r="P109" s="714">
        <f t="shared" si="54"/>
        <v>-6.135256013554812</v>
      </c>
      <c r="Q109" s="714">
        <f t="shared" si="54"/>
        <v>-5.858501174008823</v>
      </c>
      <c r="R109" s="714">
        <f t="shared" si="54"/>
        <v>-4.149859124876253</v>
      </c>
      <c r="S109" s="714">
        <f t="shared" si="54"/>
        <v>-1.6544275637429848</v>
      </c>
      <c r="T109" s="714">
        <f t="shared" si="54"/>
        <v>-4.561051744031399</v>
      </c>
      <c r="U109" s="703">
        <f t="shared" si="54"/>
        <v>3.5353458927151067</v>
      </c>
      <c r="V109" s="703">
        <f t="shared" si="54"/>
        <v>1.8430523603410904</v>
      </c>
      <c r="W109" s="703">
        <f t="shared" si="54"/>
        <v>2.1154294122952493</v>
      </c>
      <c r="X109" s="703">
        <f t="shared" si="54"/>
        <v>3.797043670427504</v>
      </c>
      <c r="Y109" s="703">
        <f t="shared" si="54"/>
        <v>6.253001777934746</v>
      </c>
      <c r="Z109" s="703">
        <f t="shared" si="54"/>
        <v>3.3923554142997325</v>
      </c>
      <c r="AA109" s="703">
        <f t="shared" si="54"/>
        <v>3.770827894097623</v>
      </c>
      <c r="AB109" s="703">
        <f t="shared" si="54"/>
        <v>1.9658142262621041</v>
      </c>
      <c r="AC109" s="703">
        <f t="shared" si="54"/>
        <v>2.2563337444052145</v>
      </c>
      <c r="AD109" s="703">
        <f t="shared" si="54"/>
        <v>4.04995681386038</v>
      </c>
      <c r="AE109" s="703">
        <f t="shared" si="54"/>
        <v>6.669501158193598</v>
      </c>
      <c r="AF109" s="703">
        <f t="shared" si="54"/>
        <v>3.618313118751283</v>
      </c>
    </row>
  </sheetData>
  <sheetProtection/>
  <mergeCells count="11">
    <mergeCell ref="AB5:AF5"/>
    <mergeCell ref="I4:N4"/>
    <mergeCell ref="A2:AF2"/>
    <mergeCell ref="C4:H4"/>
    <mergeCell ref="D5:H5"/>
    <mergeCell ref="J5:N5"/>
    <mergeCell ref="AA4:AF4"/>
    <mergeCell ref="U4:Z4"/>
    <mergeCell ref="O4:T4"/>
    <mergeCell ref="P5:T5"/>
    <mergeCell ref="V5:Z5"/>
  </mergeCells>
  <conditionalFormatting sqref="B85:AF85">
    <cfRule type="cellIs" priority="1" dxfId="0" operator="greaterThan" stopIfTrue="1">
      <formula>23.01</formula>
    </cfRule>
    <cfRule type="cellIs" priority="2" dxfId="1" operator="lessThan" stopIfTrue="1">
      <formula>23.01</formula>
    </cfRule>
  </conditionalFormatting>
  <printOptions/>
  <pageMargins left="0.787401575" right="0.787401575" top="0.984251969" bottom="0.984251969"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2"/>
  </sheetPr>
  <dimension ref="A1:DH84"/>
  <sheetViews>
    <sheetView tabSelected="1" zoomScalePageLayoutView="0" workbookViewId="0" topLeftCell="A1">
      <pane xSplit="1" ySplit="8" topLeftCell="B36" activePane="bottomRight" state="frozen"/>
      <selection pane="topLeft" activeCell="A1" sqref="A1"/>
      <selection pane="topRight" activeCell="B1" sqref="B1"/>
      <selection pane="bottomLeft" activeCell="A9" sqref="A9"/>
      <selection pane="bottomRight" activeCell="C54" sqref="C54"/>
    </sheetView>
  </sheetViews>
  <sheetFormatPr defaultColWidth="9.140625" defaultRowHeight="12.75"/>
  <cols>
    <col min="1" max="1" width="46.00390625" style="5" customWidth="1"/>
    <col min="2" max="2" width="25.00390625" style="7" customWidth="1"/>
    <col min="3" max="3" width="12.28125" style="7" bestFit="1" customWidth="1"/>
    <col min="4" max="4" width="11.8515625" style="7" bestFit="1" customWidth="1"/>
    <col min="5" max="5" width="10.57421875" style="7" bestFit="1" customWidth="1"/>
    <col min="6" max="7" width="11.8515625" style="7" customWidth="1"/>
    <col min="8" max="8" width="10.57421875" style="7" bestFit="1" customWidth="1"/>
    <col min="9" max="9" width="12.140625" style="7" bestFit="1" customWidth="1"/>
    <col min="10" max="10" width="11.8515625" style="7" bestFit="1" customWidth="1"/>
    <col min="11" max="11" width="10.57421875" style="7" bestFit="1" customWidth="1"/>
    <col min="12" max="13" width="12.140625" style="7" bestFit="1" customWidth="1"/>
    <col min="14" max="14" width="13.00390625" style="7" customWidth="1"/>
    <col min="15" max="15" width="12.140625" style="7" bestFit="1" customWidth="1"/>
    <col min="16" max="16" width="11.8515625" style="7" bestFit="1" customWidth="1"/>
    <col min="17" max="17" width="10.57421875" style="7" bestFit="1" customWidth="1"/>
    <col min="18" max="19" width="12.140625" style="7" bestFit="1" customWidth="1"/>
    <col min="20" max="20" width="10.57421875" style="7" bestFit="1" customWidth="1"/>
    <col min="21" max="21" width="12.140625" style="7" bestFit="1" customWidth="1"/>
    <col min="22" max="22" width="11.7109375" style="7" bestFit="1" customWidth="1"/>
    <col min="23" max="23" width="10.57421875" style="7" bestFit="1" customWidth="1"/>
    <col min="24" max="25" width="12.140625" style="7" bestFit="1" customWidth="1"/>
    <col min="26" max="26" width="10.57421875" style="7" bestFit="1" customWidth="1"/>
    <col min="27" max="27" width="12.140625" style="7" bestFit="1" customWidth="1"/>
    <col min="28" max="28" width="11.7109375" style="7" bestFit="1" customWidth="1"/>
    <col min="29" max="29" width="9.57421875" style="7" customWidth="1"/>
    <col min="30" max="31" width="12.140625" style="7" bestFit="1" customWidth="1"/>
    <col min="32" max="32" width="10.57421875" style="7" bestFit="1" customWidth="1"/>
    <col min="33" max="33" width="44.8515625" style="18" customWidth="1"/>
    <col min="34" max="34" width="128.8515625" style="120" customWidth="1"/>
    <col min="35" max="112" width="9.140625" style="25" customWidth="1"/>
    <col min="113" max="16384" width="9.140625" style="5" customWidth="1"/>
  </cols>
  <sheetData>
    <row r="1" spans="1:112" s="10" customFormat="1" ht="18.75" thickBot="1">
      <c r="A1" s="744" t="s">
        <v>70</v>
      </c>
      <c r="B1" s="745"/>
      <c r="C1" s="745"/>
      <c r="D1" s="745"/>
      <c r="E1" s="745"/>
      <c r="F1" s="745"/>
      <c r="G1" s="745"/>
      <c r="H1" s="745"/>
      <c r="I1" s="745"/>
      <c r="J1" s="745"/>
      <c r="K1" s="745"/>
      <c r="L1" s="745"/>
      <c r="M1" s="745"/>
      <c r="N1" s="745"/>
      <c r="O1" s="745"/>
      <c r="P1" s="745"/>
      <c r="Q1" s="745"/>
      <c r="R1" s="745"/>
      <c r="S1" s="745"/>
      <c r="T1" s="745"/>
      <c r="U1" s="745"/>
      <c r="V1" s="745"/>
      <c r="W1" s="745"/>
      <c r="X1" s="745"/>
      <c r="Y1" s="745"/>
      <c r="Z1" s="745"/>
      <c r="AA1" s="745"/>
      <c r="AB1" s="745"/>
      <c r="AC1" s="745"/>
      <c r="AD1" s="745"/>
      <c r="AE1" s="745"/>
      <c r="AF1" s="745"/>
      <c r="AG1" s="746"/>
      <c r="AH1" s="119"/>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row>
    <row r="2" ht="12.75">
      <c r="A2" s="6" t="s">
        <v>55</v>
      </c>
    </row>
    <row r="3" spans="3:32" ht="12.75">
      <c r="C3" s="489">
        <v>8751</v>
      </c>
      <c r="D3" s="488">
        <f>100*'[1]C-PROV-3-FR'!$F$14</f>
        <v>8780</v>
      </c>
      <c r="E3" s="488">
        <f>100*'[1]C-PROV-3-FR'!$I$14</f>
        <v>8720</v>
      </c>
      <c r="F3" s="488">
        <f>100*'[1]C-PROV-3-FR'!$L$14</f>
        <v>9200</v>
      </c>
      <c r="G3" s="488">
        <f>100*'[1]C-PROV-3-FR'!$Y$14</f>
        <v>7440.000000000001</v>
      </c>
      <c r="H3" s="488">
        <f>100*'[1]C-PROV-3-FR'!$AB$14</f>
        <v>8530</v>
      </c>
      <c r="I3" s="490">
        <v>75224</v>
      </c>
      <c r="J3" s="491">
        <v>79430</v>
      </c>
      <c r="K3" s="491">
        <v>73300</v>
      </c>
      <c r="L3" s="491">
        <v>76240</v>
      </c>
      <c r="M3" s="491">
        <v>68060</v>
      </c>
      <c r="N3" s="491">
        <v>73870</v>
      </c>
      <c r="O3" s="489">
        <v>12199</v>
      </c>
      <c r="P3" s="491">
        <v>11860</v>
      </c>
      <c r="Q3" s="491">
        <v>12570</v>
      </c>
      <c r="R3" s="491">
        <v>11880</v>
      </c>
      <c r="S3" s="491">
        <v>11700</v>
      </c>
      <c r="T3" s="492">
        <v>11710</v>
      </c>
      <c r="U3" s="490">
        <v>3858</v>
      </c>
      <c r="V3" s="491">
        <v>5290</v>
      </c>
      <c r="W3" s="491">
        <v>3790</v>
      </c>
      <c r="X3" s="491">
        <v>3850</v>
      </c>
      <c r="Y3" s="491">
        <v>3480</v>
      </c>
      <c r="Z3" s="493">
        <v>3790</v>
      </c>
      <c r="AA3" s="490">
        <v>3858</v>
      </c>
      <c r="AB3" s="491">
        <v>5290</v>
      </c>
      <c r="AC3" s="491">
        <v>3790</v>
      </c>
      <c r="AD3" s="491">
        <v>3850</v>
      </c>
      <c r="AE3" s="491">
        <v>3480</v>
      </c>
      <c r="AF3" s="493">
        <v>3790</v>
      </c>
    </row>
    <row r="4" ht="12.75"/>
    <row r="5" ht="12" customHeight="1" thickBot="1"/>
    <row r="6" spans="1:34" ht="39.75" customHeight="1" thickBot="1">
      <c r="A6" s="25"/>
      <c r="B6" s="752" t="s">
        <v>67</v>
      </c>
      <c r="C6" s="720" t="s">
        <v>82</v>
      </c>
      <c r="D6" s="721"/>
      <c r="E6" s="721"/>
      <c r="F6" s="721"/>
      <c r="G6" s="721"/>
      <c r="H6" s="722"/>
      <c r="I6" s="716" t="s">
        <v>68</v>
      </c>
      <c r="J6" s="716"/>
      <c r="K6" s="716"/>
      <c r="L6" s="716"/>
      <c r="M6" s="716"/>
      <c r="N6" s="748"/>
      <c r="O6" s="742" t="s">
        <v>85</v>
      </c>
      <c r="P6" s="732"/>
      <c r="Q6" s="732"/>
      <c r="R6" s="732"/>
      <c r="S6" s="732"/>
      <c r="T6" s="743"/>
      <c r="U6" s="730" t="s">
        <v>90</v>
      </c>
      <c r="V6" s="730"/>
      <c r="W6" s="730"/>
      <c r="X6" s="730"/>
      <c r="Y6" s="730"/>
      <c r="Z6" s="731"/>
      <c r="AA6" s="751" t="s">
        <v>91</v>
      </c>
      <c r="AB6" s="751"/>
      <c r="AC6" s="751"/>
      <c r="AD6" s="751"/>
      <c r="AE6" s="751"/>
      <c r="AF6" s="751"/>
      <c r="AG6" s="755" t="s">
        <v>45</v>
      </c>
      <c r="AH6" s="121"/>
    </row>
    <row r="7" spans="1:34" ht="39.75" customHeight="1">
      <c r="A7" s="25"/>
      <c r="B7" s="753"/>
      <c r="C7" s="40" t="s">
        <v>99</v>
      </c>
      <c r="D7" s="723" t="s">
        <v>94</v>
      </c>
      <c r="E7" s="723"/>
      <c r="F7" s="723"/>
      <c r="G7" s="723"/>
      <c r="H7" s="724"/>
      <c r="I7" s="72" t="s">
        <v>99</v>
      </c>
      <c r="J7" s="725" t="s">
        <v>94</v>
      </c>
      <c r="K7" s="725"/>
      <c r="L7" s="725"/>
      <c r="M7" s="725"/>
      <c r="N7" s="747"/>
      <c r="O7" s="90" t="s">
        <v>99</v>
      </c>
      <c r="P7" s="757" t="s">
        <v>94</v>
      </c>
      <c r="Q7" s="757"/>
      <c r="R7" s="757"/>
      <c r="S7" s="757"/>
      <c r="T7" s="758"/>
      <c r="U7" s="431" t="s">
        <v>99</v>
      </c>
      <c r="V7" s="741" t="s">
        <v>94</v>
      </c>
      <c r="W7" s="741"/>
      <c r="X7" s="741"/>
      <c r="Y7" s="741"/>
      <c r="Z7" s="735"/>
      <c r="AA7" s="472" t="s">
        <v>99</v>
      </c>
      <c r="AB7" s="749" t="s">
        <v>94</v>
      </c>
      <c r="AC7" s="749"/>
      <c r="AD7" s="749"/>
      <c r="AE7" s="749"/>
      <c r="AF7" s="750"/>
      <c r="AG7" s="756"/>
      <c r="AH7" s="121"/>
    </row>
    <row r="8" spans="1:112" s="7" customFormat="1" ht="39.75" customHeight="1" thickBot="1">
      <c r="A8" s="135"/>
      <c r="B8" s="754"/>
      <c r="C8" s="136" t="s">
        <v>109</v>
      </c>
      <c r="D8" s="137" t="s">
        <v>104</v>
      </c>
      <c r="E8" s="137" t="s">
        <v>105</v>
      </c>
      <c r="F8" s="137" t="s">
        <v>106</v>
      </c>
      <c r="G8" s="137" t="s">
        <v>107</v>
      </c>
      <c r="H8" s="243" t="s">
        <v>108</v>
      </c>
      <c r="I8" s="239" t="s">
        <v>109</v>
      </c>
      <c r="J8" s="148" t="s">
        <v>104</v>
      </c>
      <c r="K8" s="148" t="s">
        <v>105</v>
      </c>
      <c r="L8" s="148" t="s">
        <v>106</v>
      </c>
      <c r="M8" s="148" t="s">
        <v>107</v>
      </c>
      <c r="N8" s="481" t="s">
        <v>108</v>
      </c>
      <c r="O8" s="482" t="s">
        <v>109</v>
      </c>
      <c r="P8" s="155" t="s">
        <v>104</v>
      </c>
      <c r="Q8" s="155" t="s">
        <v>105</v>
      </c>
      <c r="R8" s="155" t="s">
        <v>106</v>
      </c>
      <c r="S8" s="155" t="s">
        <v>107</v>
      </c>
      <c r="T8" s="483" t="s">
        <v>108</v>
      </c>
      <c r="U8" s="484" t="s">
        <v>109</v>
      </c>
      <c r="V8" s="181" t="s">
        <v>104</v>
      </c>
      <c r="W8" s="181" t="s">
        <v>105</v>
      </c>
      <c r="X8" s="181" t="s">
        <v>106</v>
      </c>
      <c r="Y8" s="181" t="s">
        <v>107</v>
      </c>
      <c r="Z8" s="485" t="s">
        <v>108</v>
      </c>
      <c r="AA8" s="486" t="s">
        <v>109</v>
      </c>
      <c r="AB8" s="197" t="s">
        <v>104</v>
      </c>
      <c r="AC8" s="197" t="s">
        <v>105</v>
      </c>
      <c r="AD8" s="197" t="s">
        <v>106</v>
      </c>
      <c r="AE8" s="197" t="s">
        <v>107</v>
      </c>
      <c r="AF8" s="198" t="s">
        <v>108</v>
      </c>
      <c r="AG8" s="756"/>
      <c r="AH8" s="487"/>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row>
    <row r="9" spans="1:34" ht="12.75">
      <c r="A9" s="111" t="s">
        <v>57</v>
      </c>
      <c r="B9" s="516"/>
      <c r="C9" s="459"/>
      <c r="D9" s="222"/>
      <c r="E9" s="222"/>
      <c r="F9" s="222"/>
      <c r="G9" s="222"/>
      <c r="H9" s="460"/>
      <c r="I9" s="457"/>
      <c r="J9" s="223"/>
      <c r="K9" s="223"/>
      <c r="L9" s="223"/>
      <c r="M9" s="223"/>
      <c r="N9" s="223"/>
      <c r="O9" s="91"/>
      <c r="P9" s="92"/>
      <c r="Q9" s="92"/>
      <c r="R9" s="92"/>
      <c r="S9" s="92"/>
      <c r="T9" s="93"/>
      <c r="U9" s="432"/>
      <c r="V9" s="164"/>
      <c r="W9" s="164"/>
      <c r="X9" s="164"/>
      <c r="Y9" s="164"/>
      <c r="Z9" s="463"/>
      <c r="AA9" s="473"/>
      <c r="AB9" s="189"/>
      <c r="AC9" s="189"/>
      <c r="AD9" s="189"/>
      <c r="AE9" s="189"/>
      <c r="AF9" s="474"/>
      <c r="AG9" s="19"/>
      <c r="AH9" s="122"/>
    </row>
    <row r="10" spans="1:33" ht="12.75">
      <c r="A10" s="112" t="s">
        <v>58</v>
      </c>
      <c r="B10" s="517" t="s">
        <v>42</v>
      </c>
      <c r="C10" s="42">
        <v>8751</v>
      </c>
      <c r="D10" s="42">
        <v>8780</v>
      </c>
      <c r="E10" s="42">
        <v>8720</v>
      </c>
      <c r="F10" s="42">
        <v>9200</v>
      </c>
      <c r="G10" s="42">
        <v>7440.000000000001</v>
      </c>
      <c r="H10" s="42">
        <v>8530</v>
      </c>
      <c r="I10" s="75">
        <v>75224</v>
      </c>
      <c r="J10" s="76">
        <v>79430</v>
      </c>
      <c r="K10" s="76">
        <v>73300</v>
      </c>
      <c r="L10" s="76">
        <v>76240</v>
      </c>
      <c r="M10" s="76">
        <v>68060</v>
      </c>
      <c r="N10" s="76">
        <v>73870</v>
      </c>
      <c r="O10" s="97">
        <v>12199</v>
      </c>
      <c r="P10" s="98">
        <v>11860</v>
      </c>
      <c r="Q10" s="98">
        <v>12570</v>
      </c>
      <c r="R10" s="98">
        <v>11880</v>
      </c>
      <c r="S10" s="98">
        <v>11700</v>
      </c>
      <c r="T10" s="99">
        <v>11710</v>
      </c>
      <c r="U10" s="434">
        <v>3858</v>
      </c>
      <c r="V10" s="173">
        <v>5290</v>
      </c>
      <c r="W10" s="173">
        <v>3790</v>
      </c>
      <c r="X10" s="173">
        <v>3850</v>
      </c>
      <c r="Y10" s="173">
        <v>3480</v>
      </c>
      <c r="Z10" s="465">
        <v>3790</v>
      </c>
      <c r="AA10" s="306">
        <v>3858</v>
      </c>
      <c r="AB10" s="194">
        <v>5290</v>
      </c>
      <c r="AC10" s="194">
        <v>3790</v>
      </c>
      <c r="AD10" s="194">
        <v>3850</v>
      </c>
      <c r="AE10" s="194">
        <v>3480</v>
      </c>
      <c r="AF10" s="307">
        <v>3790</v>
      </c>
      <c r="AG10" s="698" t="s">
        <v>110</v>
      </c>
    </row>
    <row r="11" spans="1:112" s="11" customFormat="1" ht="12" customHeight="1">
      <c r="A11" s="112" t="s">
        <v>75</v>
      </c>
      <c r="B11" s="517" t="s">
        <v>56</v>
      </c>
      <c r="C11" s="42">
        <v>15</v>
      </c>
      <c r="D11" s="42">
        <v>15</v>
      </c>
      <c r="E11" s="42">
        <v>15</v>
      </c>
      <c r="F11" s="42">
        <v>15</v>
      </c>
      <c r="G11" s="42">
        <v>15</v>
      </c>
      <c r="H11" s="42">
        <v>15</v>
      </c>
      <c r="I11" s="75">
        <v>74</v>
      </c>
      <c r="J11" s="76">
        <v>74</v>
      </c>
      <c r="K11" s="76">
        <v>74</v>
      </c>
      <c r="L11" s="76">
        <v>74</v>
      </c>
      <c r="M11" s="76">
        <v>74</v>
      </c>
      <c r="N11" s="76">
        <v>74</v>
      </c>
      <c r="O11" s="97">
        <v>13.4</v>
      </c>
      <c r="P11" s="98">
        <v>13.4</v>
      </c>
      <c r="Q11" s="98">
        <v>13.4</v>
      </c>
      <c r="R11" s="98">
        <v>13.4</v>
      </c>
      <c r="S11" s="98">
        <v>13.4</v>
      </c>
      <c r="T11" s="99">
        <v>13.4</v>
      </c>
      <c r="U11" s="434">
        <v>15</v>
      </c>
      <c r="V11" s="173">
        <v>15</v>
      </c>
      <c r="W11" s="173">
        <v>15</v>
      </c>
      <c r="X11" s="173">
        <v>15</v>
      </c>
      <c r="Y11" s="173">
        <v>15</v>
      </c>
      <c r="Z11" s="465">
        <v>15</v>
      </c>
      <c r="AA11" s="306">
        <v>15</v>
      </c>
      <c r="AB11" s="194">
        <v>15</v>
      </c>
      <c r="AC11" s="194">
        <v>15</v>
      </c>
      <c r="AD11" s="194">
        <v>15</v>
      </c>
      <c r="AE11" s="194">
        <v>15</v>
      </c>
      <c r="AF11" s="307">
        <v>15</v>
      </c>
      <c r="AG11" s="575" t="s">
        <v>96</v>
      </c>
      <c r="AH11" s="120"/>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row>
    <row r="12" spans="1:112" s="11" customFormat="1" ht="12.75">
      <c r="A12" s="112" t="s">
        <v>74</v>
      </c>
      <c r="B12" s="517" t="s">
        <v>84</v>
      </c>
      <c r="C12" s="42">
        <v>17</v>
      </c>
      <c r="D12" s="43">
        <v>17</v>
      </c>
      <c r="E12" s="43">
        <v>17</v>
      </c>
      <c r="F12" s="43">
        <v>17</v>
      </c>
      <c r="G12" s="43">
        <v>17</v>
      </c>
      <c r="H12" s="44">
        <v>17</v>
      </c>
      <c r="I12" s="75">
        <v>17</v>
      </c>
      <c r="J12" s="76">
        <v>17</v>
      </c>
      <c r="K12" s="76">
        <v>17</v>
      </c>
      <c r="L12" s="76">
        <v>17</v>
      </c>
      <c r="M12" s="76">
        <v>17</v>
      </c>
      <c r="N12" s="76">
        <v>17</v>
      </c>
      <c r="O12" s="97">
        <v>21.4</v>
      </c>
      <c r="P12" s="98">
        <v>21.4</v>
      </c>
      <c r="Q12" s="98">
        <v>21.4</v>
      </c>
      <c r="R12" s="98">
        <v>21.4</v>
      </c>
      <c r="S12" s="98">
        <v>21.4</v>
      </c>
      <c r="T12" s="99">
        <v>21.4</v>
      </c>
      <c r="U12" s="173">
        <v>26.5</v>
      </c>
      <c r="V12" s="173">
        <v>26.5</v>
      </c>
      <c r="W12" s="173">
        <v>26.5</v>
      </c>
      <c r="X12" s="173">
        <v>26.5</v>
      </c>
      <c r="Y12" s="173">
        <v>26.5</v>
      </c>
      <c r="Z12" s="465">
        <v>26.5</v>
      </c>
      <c r="AA12" s="194">
        <v>26.5</v>
      </c>
      <c r="AB12" s="194">
        <v>26.5</v>
      </c>
      <c r="AC12" s="194">
        <v>26.5</v>
      </c>
      <c r="AD12" s="194">
        <v>26.5</v>
      </c>
      <c r="AE12" s="194">
        <v>26.5</v>
      </c>
      <c r="AF12" s="307">
        <v>26.5</v>
      </c>
      <c r="AG12" s="575" t="s">
        <v>95</v>
      </c>
      <c r="AH12" s="120"/>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row>
    <row r="13" spans="1:33" ht="13.5" thickBot="1">
      <c r="A13" s="113"/>
      <c r="B13" s="517"/>
      <c r="C13" s="45"/>
      <c r="D13" s="46"/>
      <c r="E13" s="46"/>
      <c r="F13" s="46"/>
      <c r="G13" s="46"/>
      <c r="H13" s="47"/>
      <c r="I13" s="77"/>
      <c r="J13" s="78"/>
      <c r="K13" s="78"/>
      <c r="L13" s="78"/>
      <c r="M13" s="78"/>
      <c r="N13" s="78"/>
      <c r="O13" s="100"/>
      <c r="P13" s="101"/>
      <c r="Q13" s="101"/>
      <c r="R13" s="101"/>
      <c r="S13" s="101"/>
      <c r="T13" s="102"/>
      <c r="U13" s="435"/>
      <c r="V13" s="170"/>
      <c r="W13" s="170"/>
      <c r="X13" s="170"/>
      <c r="Y13" s="170"/>
      <c r="Z13" s="170"/>
      <c r="AA13" s="475"/>
      <c r="AB13" s="190"/>
      <c r="AC13" s="190"/>
      <c r="AD13" s="190"/>
      <c r="AE13" s="190"/>
      <c r="AF13" s="476"/>
      <c r="AG13" s="21"/>
    </row>
    <row r="14" spans="1:33" ht="13.5" thickBot="1">
      <c r="A14" s="454" t="s">
        <v>59</v>
      </c>
      <c r="B14" s="507"/>
      <c r="C14" s="48"/>
      <c r="D14" s="49"/>
      <c r="E14" s="49"/>
      <c r="F14" s="49"/>
      <c r="G14" s="49"/>
      <c r="H14" s="50"/>
      <c r="I14" s="79"/>
      <c r="J14" s="80"/>
      <c r="K14" s="80"/>
      <c r="L14" s="80"/>
      <c r="M14" s="80"/>
      <c r="N14" s="80"/>
      <c r="O14" s="103"/>
      <c r="P14" s="104"/>
      <c r="Q14" s="104"/>
      <c r="R14" s="104"/>
      <c r="S14" s="104"/>
      <c r="T14" s="105"/>
      <c r="U14" s="436"/>
      <c r="V14" s="171"/>
      <c r="W14" s="171"/>
      <c r="X14" s="171"/>
      <c r="Y14" s="171"/>
      <c r="Z14" s="180"/>
      <c r="AA14" s="389"/>
      <c r="AB14" s="191"/>
      <c r="AC14" s="191"/>
      <c r="AD14" s="191"/>
      <c r="AE14" s="191"/>
      <c r="AF14" s="192"/>
      <c r="AG14" s="22"/>
    </row>
    <row r="15" spans="1:33" ht="12.75">
      <c r="A15" s="114" t="s">
        <v>71</v>
      </c>
      <c r="B15" s="517" t="s">
        <v>69</v>
      </c>
      <c r="C15" s="248">
        <v>27</v>
      </c>
      <c r="D15" s="41">
        <v>27</v>
      </c>
      <c r="E15" s="41">
        <v>27</v>
      </c>
      <c r="F15" s="41">
        <v>27</v>
      </c>
      <c r="G15" s="41">
        <v>27</v>
      </c>
      <c r="H15" s="249">
        <v>27</v>
      </c>
      <c r="I15" s="73">
        <v>27</v>
      </c>
      <c r="J15" s="74">
        <v>27</v>
      </c>
      <c r="K15" s="74">
        <v>27</v>
      </c>
      <c r="L15" s="74">
        <v>27</v>
      </c>
      <c r="M15" s="74">
        <v>27</v>
      </c>
      <c r="N15" s="74">
        <v>27</v>
      </c>
      <c r="O15" s="94">
        <v>27</v>
      </c>
      <c r="P15" s="95">
        <v>27</v>
      </c>
      <c r="Q15" s="95">
        <v>27</v>
      </c>
      <c r="R15" s="95">
        <v>27</v>
      </c>
      <c r="S15" s="95">
        <v>27</v>
      </c>
      <c r="T15" s="96">
        <v>27</v>
      </c>
      <c r="U15" s="437">
        <v>37</v>
      </c>
      <c r="V15" s="437">
        <v>37</v>
      </c>
      <c r="W15" s="437">
        <v>37</v>
      </c>
      <c r="X15" s="437">
        <v>37</v>
      </c>
      <c r="Y15" s="437">
        <v>37</v>
      </c>
      <c r="Z15" s="437">
        <v>37</v>
      </c>
      <c r="AA15" s="314">
        <v>37</v>
      </c>
      <c r="AB15" s="193">
        <v>37</v>
      </c>
      <c r="AC15" s="193">
        <v>37</v>
      </c>
      <c r="AD15" s="193">
        <v>37</v>
      </c>
      <c r="AE15" s="193">
        <v>37</v>
      </c>
      <c r="AF15" s="315">
        <v>37</v>
      </c>
      <c r="AG15" s="20" t="s">
        <v>76</v>
      </c>
    </row>
    <row r="16" spans="1:36" ht="13.5" customHeight="1">
      <c r="A16" s="114" t="s">
        <v>39</v>
      </c>
      <c r="B16" s="517" t="s">
        <v>115</v>
      </c>
      <c r="C16" s="41">
        <v>2.7</v>
      </c>
      <c r="D16" s="41">
        <v>2.7</v>
      </c>
      <c r="E16" s="41">
        <v>2.7</v>
      </c>
      <c r="F16" s="41">
        <v>2.7</v>
      </c>
      <c r="G16" s="41">
        <v>2.7</v>
      </c>
      <c r="H16" s="249">
        <v>2.7</v>
      </c>
      <c r="I16" s="73">
        <v>2.9</v>
      </c>
      <c r="J16" s="74">
        <v>2.9</v>
      </c>
      <c r="K16" s="74">
        <v>2.9</v>
      </c>
      <c r="L16" s="74">
        <v>2.9</v>
      </c>
      <c r="M16" s="74">
        <v>2.9</v>
      </c>
      <c r="N16" s="74">
        <v>2.9</v>
      </c>
      <c r="O16" s="94">
        <v>2.7</v>
      </c>
      <c r="P16" s="95">
        <v>2.7</v>
      </c>
      <c r="Q16" s="95">
        <v>2.7</v>
      </c>
      <c r="R16" s="95">
        <v>2.7</v>
      </c>
      <c r="S16" s="95">
        <v>2.7</v>
      </c>
      <c r="T16" s="96">
        <v>2.7</v>
      </c>
      <c r="U16" s="434">
        <f aca="true" t="shared" si="0" ref="U16:Z16">1/0.405</f>
        <v>2.4691358024691357</v>
      </c>
      <c r="V16" s="173">
        <f t="shared" si="0"/>
        <v>2.4691358024691357</v>
      </c>
      <c r="W16" s="173">
        <f t="shared" si="0"/>
        <v>2.4691358024691357</v>
      </c>
      <c r="X16" s="173">
        <f t="shared" si="0"/>
        <v>2.4691358024691357</v>
      </c>
      <c r="Y16" s="173">
        <f t="shared" si="0"/>
        <v>2.4691358024691357</v>
      </c>
      <c r="Z16" s="465">
        <f t="shared" si="0"/>
        <v>2.4691358024691357</v>
      </c>
      <c r="AA16" s="194">
        <v>3</v>
      </c>
      <c r="AB16" s="194">
        <v>3</v>
      </c>
      <c r="AC16" s="194">
        <v>3</v>
      </c>
      <c r="AD16" s="194">
        <v>3</v>
      </c>
      <c r="AE16" s="194">
        <v>3</v>
      </c>
      <c r="AF16" s="307">
        <v>3</v>
      </c>
      <c r="AG16" s="20" t="s">
        <v>83</v>
      </c>
      <c r="AI16" s="13"/>
      <c r="AJ16" s="14"/>
    </row>
    <row r="17" spans="1:35" s="30" customFormat="1" ht="51">
      <c r="A17" s="114" t="s">
        <v>72</v>
      </c>
      <c r="B17" s="517" t="s">
        <v>116</v>
      </c>
      <c r="C17" s="497">
        <v>1.06</v>
      </c>
      <c r="D17" s="498">
        <v>1.06</v>
      </c>
      <c r="E17" s="498">
        <v>1.06</v>
      </c>
      <c r="F17" s="498">
        <v>1.06</v>
      </c>
      <c r="G17" s="498">
        <v>1.06</v>
      </c>
      <c r="H17" s="499">
        <v>1.06</v>
      </c>
      <c r="I17" s="500">
        <f aca="true" t="shared" si="1" ref="I17:N17">58/(1-76.5/100)/1000*I16</f>
        <v>0.7157446808510639</v>
      </c>
      <c r="J17" s="500">
        <f t="shared" si="1"/>
        <v>0.7157446808510639</v>
      </c>
      <c r="K17" s="500">
        <f t="shared" si="1"/>
        <v>0.7157446808510639</v>
      </c>
      <c r="L17" s="500">
        <f t="shared" si="1"/>
        <v>0.7157446808510639</v>
      </c>
      <c r="M17" s="500">
        <f t="shared" si="1"/>
        <v>0.7157446808510639</v>
      </c>
      <c r="N17" s="500">
        <f t="shared" si="1"/>
        <v>0.7157446808510639</v>
      </c>
      <c r="O17" s="501">
        <f>1.1/0.78</f>
        <v>1.4102564102564104</v>
      </c>
      <c r="P17" s="502">
        <f>O17</f>
        <v>1.4102564102564104</v>
      </c>
      <c r="Q17" s="502">
        <f>O17</f>
        <v>1.4102564102564104</v>
      </c>
      <c r="R17" s="502">
        <f>O17</f>
        <v>1.4102564102564104</v>
      </c>
      <c r="S17" s="502">
        <f>O17</f>
        <v>1.4102564102564104</v>
      </c>
      <c r="T17" s="503">
        <f>O17</f>
        <v>1.4102564102564104</v>
      </c>
      <c r="U17" s="438">
        <f aca="true" t="shared" si="2" ref="U17:Z17">(2075+123)/1321</f>
        <v>1.663890991672975</v>
      </c>
      <c r="V17" s="438">
        <f t="shared" si="2"/>
        <v>1.663890991672975</v>
      </c>
      <c r="W17" s="438">
        <f t="shared" si="2"/>
        <v>1.663890991672975</v>
      </c>
      <c r="X17" s="438">
        <f t="shared" si="2"/>
        <v>1.663890991672975</v>
      </c>
      <c r="Y17" s="438">
        <f t="shared" si="2"/>
        <v>1.663890991672975</v>
      </c>
      <c r="Z17" s="438">
        <f t="shared" si="2"/>
        <v>1.663890991672975</v>
      </c>
      <c r="AA17" s="504">
        <v>2.21</v>
      </c>
      <c r="AB17" s="505">
        <v>2.21</v>
      </c>
      <c r="AC17" s="505">
        <v>2.21</v>
      </c>
      <c r="AD17" s="505">
        <v>2.21</v>
      </c>
      <c r="AE17" s="505">
        <v>2.21</v>
      </c>
      <c r="AF17" s="506">
        <v>2.21</v>
      </c>
      <c r="AG17" s="575" t="s">
        <v>159</v>
      </c>
      <c r="AH17" s="123"/>
      <c r="AI17" s="34"/>
    </row>
    <row r="18" spans="1:34" s="30" customFormat="1" ht="51.75" thickBot="1">
      <c r="A18" s="117" t="s">
        <v>73</v>
      </c>
      <c r="B18" s="507" t="s">
        <v>114</v>
      </c>
      <c r="C18" s="508">
        <v>16</v>
      </c>
      <c r="D18" s="509">
        <v>16</v>
      </c>
      <c r="E18" s="509">
        <v>16</v>
      </c>
      <c r="F18" s="509">
        <v>16</v>
      </c>
      <c r="G18" s="509">
        <v>16</v>
      </c>
      <c r="H18" s="510">
        <v>16</v>
      </c>
      <c r="I18" s="511">
        <v>16.3</v>
      </c>
      <c r="J18" s="512">
        <v>16.3</v>
      </c>
      <c r="K18" s="512">
        <v>16.3</v>
      </c>
      <c r="L18" s="512">
        <v>16.3</v>
      </c>
      <c r="M18" s="512">
        <v>16.3</v>
      </c>
      <c r="N18" s="512">
        <v>16.3</v>
      </c>
      <c r="O18" s="513">
        <v>16</v>
      </c>
      <c r="P18" s="514">
        <v>16</v>
      </c>
      <c r="Q18" s="514">
        <v>16</v>
      </c>
      <c r="R18" s="514">
        <v>16</v>
      </c>
      <c r="S18" s="514">
        <v>16</v>
      </c>
      <c r="T18" s="515">
        <v>16</v>
      </c>
      <c r="U18" s="526">
        <f aca="true" t="shared" si="3" ref="U18:Z18">33950/2075</f>
        <v>16.36144578313253</v>
      </c>
      <c r="V18" s="526">
        <f t="shared" si="3"/>
        <v>16.36144578313253</v>
      </c>
      <c r="W18" s="526">
        <f t="shared" si="3"/>
        <v>16.36144578313253</v>
      </c>
      <c r="X18" s="526">
        <f t="shared" si="3"/>
        <v>16.36144578313253</v>
      </c>
      <c r="Y18" s="526">
        <f t="shared" si="3"/>
        <v>16.36144578313253</v>
      </c>
      <c r="Z18" s="526">
        <f t="shared" si="3"/>
        <v>16.36144578313253</v>
      </c>
      <c r="AA18" s="194">
        <v>16.36144578313253</v>
      </c>
      <c r="AB18" s="194">
        <v>16.36144578313253</v>
      </c>
      <c r="AC18" s="194">
        <v>16.36144578313253</v>
      </c>
      <c r="AD18" s="194">
        <v>16.36144578313253</v>
      </c>
      <c r="AE18" s="194">
        <v>16.36144578313253</v>
      </c>
      <c r="AF18" s="307">
        <v>16.36144578313253</v>
      </c>
      <c r="AG18" s="690" t="s">
        <v>113</v>
      </c>
      <c r="AH18" s="694"/>
    </row>
    <row r="19" spans="1:34" ht="13.5" thickBot="1">
      <c r="A19" s="115"/>
      <c r="B19" s="517"/>
      <c r="C19" s="45"/>
      <c r="D19" s="46"/>
      <c r="E19" s="46"/>
      <c r="F19" s="46"/>
      <c r="G19" s="46"/>
      <c r="H19" s="47"/>
      <c r="I19" s="77"/>
      <c r="J19" s="78"/>
      <c r="K19" s="78"/>
      <c r="L19" s="78"/>
      <c r="M19" s="78"/>
      <c r="N19" s="78"/>
      <c r="O19" s="100"/>
      <c r="P19" s="101"/>
      <c r="Q19" s="101"/>
      <c r="R19" s="101"/>
      <c r="S19" s="101"/>
      <c r="T19" s="102"/>
      <c r="U19" s="435"/>
      <c r="V19" s="178"/>
      <c r="W19" s="178"/>
      <c r="X19" s="178"/>
      <c r="Y19" s="178"/>
      <c r="Z19" s="179"/>
      <c r="AA19" s="384"/>
      <c r="AB19" s="211"/>
      <c r="AC19" s="211"/>
      <c r="AD19" s="211"/>
      <c r="AE19" s="190"/>
      <c r="AF19" s="476"/>
      <c r="AG19" s="691"/>
      <c r="AH19" s="695"/>
    </row>
    <row r="20" spans="1:34" ht="12.75">
      <c r="A20" s="116" t="s">
        <v>60</v>
      </c>
      <c r="B20" s="517"/>
      <c r="C20" s="48"/>
      <c r="D20" s="49"/>
      <c r="E20" s="49"/>
      <c r="F20" s="49"/>
      <c r="G20" s="49"/>
      <c r="H20" s="50"/>
      <c r="I20" s="79"/>
      <c r="J20" s="80"/>
      <c r="K20" s="80"/>
      <c r="L20" s="80"/>
      <c r="M20" s="80"/>
      <c r="N20" s="80"/>
      <c r="O20" s="103"/>
      <c r="P20" s="104"/>
      <c r="Q20" s="104"/>
      <c r="R20" s="104"/>
      <c r="S20" s="104"/>
      <c r="T20" s="105"/>
      <c r="U20" s="436"/>
      <c r="V20" s="171"/>
      <c r="W20" s="171"/>
      <c r="X20" s="171"/>
      <c r="Y20" s="171"/>
      <c r="Z20" s="180"/>
      <c r="AA20" s="389"/>
      <c r="AB20" s="191"/>
      <c r="AC20" s="191"/>
      <c r="AD20" s="191"/>
      <c r="AE20" s="191"/>
      <c r="AF20" s="192"/>
      <c r="AG20" s="692"/>
      <c r="AH20" s="695"/>
    </row>
    <row r="21" spans="1:34" ht="14.25" customHeight="1">
      <c r="A21" s="114" t="s">
        <v>50</v>
      </c>
      <c r="B21" s="517" t="s">
        <v>4</v>
      </c>
      <c r="C21" s="51">
        <v>95.8</v>
      </c>
      <c r="D21" s="51">
        <v>95.8</v>
      </c>
      <c r="E21" s="51">
        <v>95.8</v>
      </c>
      <c r="F21" s="51">
        <v>95.8</v>
      </c>
      <c r="G21" s="51">
        <v>95.8</v>
      </c>
      <c r="H21" s="51">
        <v>95.8</v>
      </c>
      <c r="I21" s="73">
        <v>230</v>
      </c>
      <c r="J21" s="73">
        <v>230</v>
      </c>
      <c r="K21" s="73">
        <v>230</v>
      </c>
      <c r="L21" s="73">
        <v>230</v>
      </c>
      <c r="M21" s="73">
        <v>230</v>
      </c>
      <c r="N21" s="73">
        <v>230</v>
      </c>
      <c r="O21" s="94">
        <v>120</v>
      </c>
      <c r="P21" s="94">
        <v>120</v>
      </c>
      <c r="Q21" s="94">
        <v>120</v>
      </c>
      <c r="R21" s="94">
        <v>120</v>
      </c>
      <c r="S21" s="94">
        <v>120</v>
      </c>
      <c r="T21" s="94">
        <v>120</v>
      </c>
      <c r="U21" s="437">
        <v>118</v>
      </c>
      <c r="V21" s="437">
        <v>118</v>
      </c>
      <c r="W21" s="437">
        <v>118</v>
      </c>
      <c r="X21" s="437">
        <v>118</v>
      </c>
      <c r="Y21" s="437">
        <v>118</v>
      </c>
      <c r="Z21" s="437">
        <v>118</v>
      </c>
      <c r="AA21" s="314">
        <v>118</v>
      </c>
      <c r="AB21" s="314">
        <v>118</v>
      </c>
      <c r="AC21" s="314">
        <v>118</v>
      </c>
      <c r="AD21" s="314">
        <v>118</v>
      </c>
      <c r="AE21" s="314">
        <v>118</v>
      </c>
      <c r="AF21" s="314">
        <v>118</v>
      </c>
      <c r="AG21" s="693" t="s">
        <v>157</v>
      </c>
      <c r="AH21" s="691"/>
    </row>
    <row r="22" spans="1:34" ht="15" customHeight="1">
      <c r="A22" s="541" t="s">
        <v>22</v>
      </c>
      <c r="B22" s="517" t="s">
        <v>117</v>
      </c>
      <c r="C22" s="54">
        <v>0.833</v>
      </c>
      <c r="D22" s="54">
        <v>0.833</v>
      </c>
      <c r="E22" s="54">
        <v>0.833</v>
      </c>
      <c r="F22" s="54">
        <v>0.833</v>
      </c>
      <c r="G22" s="54">
        <v>0.833</v>
      </c>
      <c r="H22" s="54">
        <v>0.833</v>
      </c>
      <c r="I22" s="73">
        <v>0.833</v>
      </c>
      <c r="J22" s="73">
        <v>0.833</v>
      </c>
      <c r="K22" s="73">
        <v>0.833</v>
      </c>
      <c r="L22" s="73">
        <v>0.833</v>
      </c>
      <c r="M22" s="73">
        <v>0.833</v>
      </c>
      <c r="N22" s="73">
        <v>0.833</v>
      </c>
      <c r="O22" s="94">
        <v>0.833</v>
      </c>
      <c r="P22" s="94">
        <v>0.833</v>
      </c>
      <c r="Q22" s="94">
        <v>0.833</v>
      </c>
      <c r="R22" s="94">
        <v>0.833</v>
      </c>
      <c r="S22" s="94">
        <v>0.833</v>
      </c>
      <c r="T22" s="94">
        <v>0.833</v>
      </c>
      <c r="U22" s="437">
        <v>0.833</v>
      </c>
      <c r="V22" s="437">
        <v>0.833</v>
      </c>
      <c r="W22" s="437">
        <v>0.833</v>
      </c>
      <c r="X22" s="437">
        <v>0.833</v>
      </c>
      <c r="Y22" s="437">
        <v>0.833</v>
      </c>
      <c r="Z22" s="437">
        <v>0.833</v>
      </c>
      <c r="AA22" s="314">
        <v>0.833</v>
      </c>
      <c r="AB22" s="314">
        <v>0.833</v>
      </c>
      <c r="AC22" s="314">
        <v>0.833</v>
      </c>
      <c r="AD22" s="314">
        <v>0.833</v>
      </c>
      <c r="AE22" s="314">
        <v>0.833</v>
      </c>
      <c r="AF22" s="314">
        <v>0.833</v>
      </c>
      <c r="AG22" s="542" t="s">
        <v>156</v>
      </c>
      <c r="AH22" s="696"/>
    </row>
    <row r="23" spans="1:34" ht="12.75">
      <c r="A23" s="541" t="s">
        <v>23</v>
      </c>
      <c r="B23" s="517" t="s">
        <v>118</v>
      </c>
      <c r="C23" s="54">
        <v>42.697</v>
      </c>
      <c r="D23" s="54">
        <v>42.697</v>
      </c>
      <c r="E23" s="54">
        <v>42.697</v>
      </c>
      <c r="F23" s="54">
        <v>42.697</v>
      </c>
      <c r="G23" s="54">
        <v>42.697</v>
      </c>
      <c r="H23" s="54">
        <v>42.697</v>
      </c>
      <c r="I23" s="73">
        <v>42.697</v>
      </c>
      <c r="J23" s="73">
        <v>42.697</v>
      </c>
      <c r="K23" s="73">
        <v>42.697</v>
      </c>
      <c r="L23" s="73">
        <v>42.697</v>
      </c>
      <c r="M23" s="73">
        <v>42.697</v>
      </c>
      <c r="N23" s="73">
        <v>42.697</v>
      </c>
      <c r="O23" s="94">
        <v>42.697</v>
      </c>
      <c r="P23" s="94">
        <v>42.697</v>
      </c>
      <c r="Q23" s="94">
        <v>42.697</v>
      </c>
      <c r="R23" s="94">
        <v>42.697</v>
      </c>
      <c r="S23" s="94">
        <v>42.697</v>
      </c>
      <c r="T23" s="94">
        <v>42.697</v>
      </c>
      <c r="U23" s="437">
        <v>42.697</v>
      </c>
      <c r="V23" s="437">
        <v>42.697</v>
      </c>
      <c r="W23" s="437">
        <v>42.697</v>
      </c>
      <c r="X23" s="437">
        <v>42.697</v>
      </c>
      <c r="Y23" s="437">
        <v>42.697</v>
      </c>
      <c r="Z23" s="437">
        <v>42.697</v>
      </c>
      <c r="AA23" s="314">
        <v>42.697</v>
      </c>
      <c r="AB23" s="314">
        <v>42.697</v>
      </c>
      <c r="AC23" s="314">
        <v>42.697</v>
      </c>
      <c r="AD23" s="314">
        <v>42.697</v>
      </c>
      <c r="AE23" s="314">
        <v>42.697</v>
      </c>
      <c r="AF23" s="314">
        <v>42.697</v>
      </c>
      <c r="AG23" s="693" t="s">
        <v>76</v>
      </c>
      <c r="AH23" s="691"/>
    </row>
    <row r="24" spans="1:33" ht="38.25">
      <c r="A24" s="541" t="s">
        <v>24</v>
      </c>
      <c r="B24" s="517" t="s">
        <v>79</v>
      </c>
      <c r="C24" s="54">
        <v>73.326</v>
      </c>
      <c r="D24" s="54">
        <v>73.326</v>
      </c>
      <c r="E24" s="54">
        <v>73.326</v>
      </c>
      <c r="F24" s="54">
        <v>73.326</v>
      </c>
      <c r="G24" s="54">
        <v>73.326</v>
      </c>
      <c r="H24" s="54">
        <v>73.326</v>
      </c>
      <c r="I24" s="73">
        <v>73.326</v>
      </c>
      <c r="J24" s="73">
        <v>73.326</v>
      </c>
      <c r="K24" s="73">
        <v>73.326</v>
      </c>
      <c r="L24" s="73">
        <v>73.326</v>
      </c>
      <c r="M24" s="73">
        <v>73.326</v>
      </c>
      <c r="N24" s="73">
        <v>73.326</v>
      </c>
      <c r="O24" s="94">
        <v>73.326</v>
      </c>
      <c r="P24" s="94">
        <v>73.326</v>
      </c>
      <c r="Q24" s="94">
        <v>73.326</v>
      </c>
      <c r="R24" s="94">
        <v>73.326</v>
      </c>
      <c r="S24" s="94">
        <v>73.326</v>
      </c>
      <c r="T24" s="94">
        <v>73.326</v>
      </c>
      <c r="U24" s="437">
        <v>73.326</v>
      </c>
      <c r="V24" s="437">
        <v>73.326</v>
      </c>
      <c r="W24" s="437">
        <v>73.326</v>
      </c>
      <c r="X24" s="437">
        <v>73.326</v>
      </c>
      <c r="Y24" s="437">
        <v>73.326</v>
      </c>
      <c r="Z24" s="437">
        <v>73.326</v>
      </c>
      <c r="AA24" s="314">
        <v>73.326</v>
      </c>
      <c r="AB24" s="314">
        <v>73.326</v>
      </c>
      <c r="AC24" s="314">
        <v>73.326</v>
      </c>
      <c r="AD24" s="314">
        <v>73.326</v>
      </c>
      <c r="AE24" s="314">
        <v>73.326</v>
      </c>
      <c r="AF24" s="314">
        <v>73.326</v>
      </c>
      <c r="AG24" s="20" t="s">
        <v>155</v>
      </c>
    </row>
    <row r="25" spans="1:33" ht="13.5" thickBot="1">
      <c r="A25" s="117" t="s">
        <v>25</v>
      </c>
      <c r="B25" s="507" t="s">
        <v>80</v>
      </c>
      <c r="C25" s="527">
        <v>1.16</v>
      </c>
      <c r="D25" s="528">
        <v>1.16</v>
      </c>
      <c r="E25" s="528">
        <v>1.16</v>
      </c>
      <c r="F25" s="528">
        <v>1.16</v>
      </c>
      <c r="G25" s="528">
        <v>1.16</v>
      </c>
      <c r="H25" s="529">
        <v>1.16</v>
      </c>
      <c r="I25" s="530">
        <v>1.16</v>
      </c>
      <c r="J25" s="531">
        <v>1.16</v>
      </c>
      <c r="K25" s="531">
        <v>1.16</v>
      </c>
      <c r="L25" s="531">
        <v>1.16</v>
      </c>
      <c r="M25" s="531">
        <v>1.16</v>
      </c>
      <c r="N25" s="531">
        <v>1.16</v>
      </c>
      <c r="O25" s="532">
        <v>1.16</v>
      </c>
      <c r="P25" s="533">
        <v>1.16</v>
      </c>
      <c r="Q25" s="533">
        <v>1.16</v>
      </c>
      <c r="R25" s="533">
        <v>1.16</v>
      </c>
      <c r="S25" s="533">
        <v>1.16</v>
      </c>
      <c r="T25" s="534">
        <v>1.16</v>
      </c>
      <c r="U25" s="535">
        <v>1.16</v>
      </c>
      <c r="V25" s="536">
        <v>1.16</v>
      </c>
      <c r="W25" s="536">
        <v>1.16</v>
      </c>
      <c r="X25" s="536">
        <v>1.16</v>
      </c>
      <c r="Y25" s="536">
        <v>1.16</v>
      </c>
      <c r="Z25" s="537">
        <v>1.16</v>
      </c>
      <c r="AA25" s="538">
        <v>1.16</v>
      </c>
      <c r="AB25" s="539">
        <v>1.16</v>
      </c>
      <c r="AC25" s="539">
        <v>1.16</v>
      </c>
      <c r="AD25" s="539">
        <v>1.16</v>
      </c>
      <c r="AE25" s="539">
        <v>1.16</v>
      </c>
      <c r="AF25" s="540">
        <v>1.16</v>
      </c>
      <c r="AG25" s="23"/>
    </row>
    <row r="26" spans="1:33" ht="13.5" thickBot="1">
      <c r="A26" s="115"/>
      <c r="B26" s="518"/>
      <c r="C26" s="56"/>
      <c r="D26" s="57"/>
      <c r="E26" s="57"/>
      <c r="F26" s="57"/>
      <c r="G26" s="57"/>
      <c r="H26" s="58"/>
      <c r="I26" s="77"/>
      <c r="J26" s="78"/>
      <c r="K26" s="78"/>
      <c r="L26" s="78"/>
      <c r="M26" s="78"/>
      <c r="N26" s="78"/>
      <c r="O26" s="100"/>
      <c r="P26" s="101"/>
      <c r="Q26" s="101"/>
      <c r="R26" s="101"/>
      <c r="S26" s="101"/>
      <c r="T26" s="102"/>
      <c r="U26" s="435"/>
      <c r="V26" s="170"/>
      <c r="W26" s="170"/>
      <c r="X26" s="170"/>
      <c r="Y26" s="170"/>
      <c r="Z26" s="170"/>
      <c r="AA26" s="384"/>
      <c r="AB26" s="211"/>
      <c r="AC26" s="211"/>
      <c r="AD26" s="211"/>
      <c r="AE26" s="211"/>
      <c r="AF26" s="385"/>
      <c r="AG26" s="21"/>
    </row>
    <row r="27" spans="1:33" ht="13.5" thickBot="1">
      <c r="A27" s="116" t="s">
        <v>61</v>
      </c>
      <c r="B27" s="519"/>
      <c r="C27" s="59"/>
      <c r="D27" s="60"/>
      <c r="E27" s="60"/>
      <c r="F27" s="60"/>
      <c r="G27" s="60"/>
      <c r="H27" s="61"/>
      <c r="I27" s="79"/>
      <c r="J27" s="80"/>
      <c r="K27" s="80"/>
      <c r="L27" s="80"/>
      <c r="M27" s="80"/>
      <c r="N27" s="80"/>
      <c r="O27" s="103"/>
      <c r="P27" s="104"/>
      <c r="Q27" s="104"/>
      <c r="R27" s="104"/>
      <c r="S27" s="104"/>
      <c r="T27" s="105"/>
      <c r="U27" s="436"/>
      <c r="V27" s="171"/>
      <c r="W27" s="171"/>
      <c r="X27" s="171"/>
      <c r="Y27" s="171"/>
      <c r="Z27" s="180"/>
      <c r="AA27" s="389"/>
      <c r="AB27" s="191"/>
      <c r="AC27" s="191"/>
      <c r="AD27" s="191"/>
      <c r="AE27" s="191"/>
      <c r="AF27" s="192"/>
      <c r="AG27" s="22"/>
    </row>
    <row r="28" spans="1:33" ht="12.75">
      <c r="A28" s="114" t="s">
        <v>51</v>
      </c>
      <c r="B28" s="517" t="s">
        <v>43</v>
      </c>
      <c r="C28" s="65">
        <v>98.95701291251955</v>
      </c>
      <c r="D28" s="66">
        <v>117.35883847288022</v>
      </c>
      <c r="E28" s="66">
        <v>114.39703846548174</v>
      </c>
      <c r="F28" s="66">
        <v>96.11133823323274</v>
      </c>
      <c r="G28" s="66">
        <v>69.40550274232837</v>
      </c>
      <c r="H28" s="67">
        <v>100.51187664641382</v>
      </c>
      <c r="I28" s="240">
        <v>98.95701291251955</v>
      </c>
      <c r="J28" s="149">
        <v>117.35883847288022</v>
      </c>
      <c r="K28" s="149">
        <v>114.39703846548174</v>
      </c>
      <c r="L28" s="149">
        <v>96.11133823323274</v>
      </c>
      <c r="M28" s="149">
        <v>69.40550274232837</v>
      </c>
      <c r="N28" s="149">
        <v>100.51187664641382</v>
      </c>
      <c r="O28" s="543">
        <v>98.95701291251955</v>
      </c>
      <c r="P28" s="156">
        <v>117.35883847288022</v>
      </c>
      <c r="Q28" s="156">
        <v>114.39703846548174</v>
      </c>
      <c r="R28" s="156">
        <v>96.11133823323274</v>
      </c>
      <c r="S28" s="156">
        <v>69.40550274232837</v>
      </c>
      <c r="T28" s="544">
        <v>100.51187664641382</v>
      </c>
      <c r="U28" s="545">
        <v>98.95701291251955</v>
      </c>
      <c r="V28" s="182">
        <v>117.35883847288022</v>
      </c>
      <c r="W28" s="182">
        <v>114.39703846548174</v>
      </c>
      <c r="X28" s="182">
        <v>96.11133823323274</v>
      </c>
      <c r="Y28" s="182">
        <v>69.40550274232837</v>
      </c>
      <c r="Z28" s="546">
        <v>100.51187664641382</v>
      </c>
      <c r="AA28" s="304">
        <v>98.95701291251955</v>
      </c>
      <c r="AB28" s="199">
        <v>117.35883847288022</v>
      </c>
      <c r="AC28" s="199">
        <v>114.39703846548174</v>
      </c>
      <c r="AD28" s="199">
        <v>96.11133823323274</v>
      </c>
      <c r="AE28" s="199">
        <v>69.40550274232837</v>
      </c>
      <c r="AF28" s="305">
        <v>100.51187664641382</v>
      </c>
      <c r="AG28" s="698" t="s">
        <v>110</v>
      </c>
    </row>
    <row r="29" spans="1:33" ht="12.75">
      <c r="A29" s="114" t="s">
        <v>24</v>
      </c>
      <c r="B29" s="517" t="s">
        <v>44</v>
      </c>
      <c r="C29" s="42">
        <v>5269</v>
      </c>
      <c r="D29" s="43">
        <v>5269</v>
      </c>
      <c r="E29" s="43">
        <v>5269</v>
      </c>
      <c r="F29" s="43">
        <v>5269</v>
      </c>
      <c r="G29" s="43">
        <v>5269</v>
      </c>
      <c r="H29" s="44">
        <v>5269</v>
      </c>
      <c r="I29" s="75">
        <v>5269</v>
      </c>
      <c r="J29" s="76">
        <v>5269</v>
      </c>
      <c r="K29" s="76">
        <v>5269</v>
      </c>
      <c r="L29" s="76">
        <v>5269</v>
      </c>
      <c r="M29" s="76">
        <v>5269</v>
      </c>
      <c r="N29" s="76">
        <v>5269</v>
      </c>
      <c r="O29" s="97">
        <v>5269</v>
      </c>
      <c r="P29" s="98">
        <v>5269</v>
      </c>
      <c r="Q29" s="98">
        <v>5269</v>
      </c>
      <c r="R29" s="98">
        <v>5269</v>
      </c>
      <c r="S29" s="98">
        <v>5269</v>
      </c>
      <c r="T29" s="99">
        <v>5269</v>
      </c>
      <c r="U29" s="434">
        <v>5269</v>
      </c>
      <c r="V29" s="173">
        <v>5269</v>
      </c>
      <c r="W29" s="173">
        <v>5269</v>
      </c>
      <c r="X29" s="173">
        <v>5269</v>
      </c>
      <c r="Y29" s="173">
        <v>5269</v>
      </c>
      <c r="Z29" s="465">
        <v>5269</v>
      </c>
      <c r="AA29" s="306">
        <v>5269</v>
      </c>
      <c r="AB29" s="194">
        <v>5269</v>
      </c>
      <c r="AC29" s="194">
        <v>5269</v>
      </c>
      <c r="AD29" s="194">
        <v>5269</v>
      </c>
      <c r="AE29" s="194">
        <v>5269</v>
      </c>
      <c r="AF29" s="307">
        <v>5269</v>
      </c>
      <c r="AG29" s="523" t="s">
        <v>126</v>
      </c>
    </row>
    <row r="30" spans="1:33" ht="13.5" thickBot="1">
      <c r="A30" s="117" t="s">
        <v>25</v>
      </c>
      <c r="B30" s="507" t="s">
        <v>13</v>
      </c>
      <c r="C30" s="55">
        <v>49.17</v>
      </c>
      <c r="D30" s="206">
        <v>49.17</v>
      </c>
      <c r="E30" s="206">
        <v>49.17</v>
      </c>
      <c r="F30" s="206">
        <v>49.17</v>
      </c>
      <c r="G30" s="206">
        <v>49.17</v>
      </c>
      <c r="H30" s="417">
        <v>49.17</v>
      </c>
      <c r="I30" s="82">
        <v>49.17</v>
      </c>
      <c r="J30" s="207">
        <v>49.17</v>
      </c>
      <c r="K30" s="207">
        <v>49.17</v>
      </c>
      <c r="L30" s="207">
        <v>49.17</v>
      </c>
      <c r="M30" s="207">
        <v>49.17</v>
      </c>
      <c r="N30" s="207">
        <v>49.17</v>
      </c>
      <c r="O30" s="107">
        <v>49.17</v>
      </c>
      <c r="P30" s="208">
        <v>49.17</v>
      </c>
      <c r="Q30" s="208">
        <v>49.17</v>
      </c>
      <c r="R30" s="208">
        <v>49.17</v>
      </c>
      <c r="S30" s="208">
        <v>49.17</v>
      </c>
      <c r="T30" s="445">
        <v>49.17</v>
      </c>
      <c r="U30" s="439">
        <v>49.17</v>
      </c>
      <c r="V30" s="209">
        <v>49.17</v>
      </c>
      <c r="W30" s="209">
        <v>49.17</v>
      </c>
      <c r="X30" s="209">
        <v>49.17</v>
      </c>
      <c r="Y30" s="209">
        <v>49.17</v>
      </c>
      <c r="Z30" s="467">
        <v>49.17</v>
      </c>
      <c r="AA30" s="420">
        <v>49.17</v>
      </c>
      <c r="AB30" s="210">
        <v>49.17</v>
      </c>
      <c r="AC30" s="210">
        <v>49.17</v>
      </c>
      <c r="AD30" s="210">
        <v>49.17</v>
      </c>
      <c r="AE30" s="210">
        <v>49.17</v>
      </c>
      <c r="AF30" s="421">
        <v>49.17</v>
      </c>
      <c r="AG30" s="523" t="s">
        <v>126</v>
      </c>
    </row>
    <row r="31" spans="1:33" ht="13.5" thickBot="1">
      <c r="A31" s="115"/>
      <c r="B31" s="518"/>
      <c r="C31" s="62"/>
      <c r="D31" s="63"/>
      <c r="E31" s="63"/>
      <c r="F31" s="63"/>
      <c r="G31" s="63"/>
      <c r="H31" s="64"/>
      <c r="I31" s="77"/>
      <c r="J31" s="78"/>
      <c r="K31" s="78"/>
      <c r="L31" s="78"/>
      <c r="M31" s="78"/>
      <c r="N31" s="78"/>
      <c r="O31" s="100"/>
      <c r="P31" s="101"/>
      <c r="Q31" s="101"/>
      <c r="R31" s="101"/>
      <c r="S31" s="101"/>
      <c r="T31" s="102"/>
      <c r="U31" s="435"/>
      <c r="V31" s="170"/>
      <c r="W31" s="170"/>
      <c r="X31" s="170"/>
      <c r="Y31" s="170"/>
      <c r="Z31" s="170"/>
      <c r="AA31" s="384"/>
      <c r="AB31" s="211"/>
      <c r="AC31" s="211"/>
      <c r="AD31" s="211"/>
      <c r="AE31" s="211"/>
      <c r="AF31" s="385"/>
      <c r="AG31" s="21"/>
    </row>
    <row r="32" spans="1:33" ht="13.5" thickBot="1">
      <c r="A32" s="116" t="s">
        <v>62</v>
      </c>
      <c r="B32" s="519"/>
      <c r="C32" s="65"/>
      <c r="D32" s="66"/>
      <c r="E32" s="66"/>
      <c r="F32" s="66"/>
      <c r="G32" s="66"/>
      <c r="H32" s="67"/>
      <c r="I32" s="79"/>
      <c r="J32" s="80"/>
      <c r="K32" s="80"/>
      <c r="L32" s="80"/>
      <c r="M32" s="80"/>
      <c r="N32" s="80"/>
      <c r="O32" s="103"/>
      <c r="P32" s="104"/>
      <c r="Q32" s="104"/>
      <c r="R32" s="104"/>
      <c r="S32" s="104"/>
      <c r="T32" s="105"/>
      <c r="U32" s="436"/>
      <c r="V32" s="171"/>
      <c r="W32" s="171"/>
      <c r="X32" s="171"/>
      <c r="Y32" s="171"/>
      <c r="Z32" s="180"/>
      <c r="AA32" s="389"/>
      <c r="AB32" s="191"/>
      <c r="AC32" s="191"/>
      <c r="AD32" s="191"/>
      <c r="AE32" s="191"/>
      <c r="AF32" s="192"/>
      <c r="AG32" s="22"/>
    </row>
    <row r="33" spans="1:33" ht="14.25">
      <c r="A33" s="114" t="s">
        <v>52</v>
      </c>
      <c r="B33" s="517" t="s">
        <v>119</v>
      </c>
      <c r="C33" s="65">
        <v>43.585489259428236</v>
      </c>
      <c r="D33" s="66">
        <v>56.11939503828779</v>
      </c>
      <c r="E33" s="66">
        <v>54.19818055816258</v>
      </c>
      <c r="F33" s="66">
        <v>34.824881723232984</v>
      </c>
      <c r="G33" s="66">
        <v>29.76756422185241</v>
      </c>
      <c r="H33" s="67">
        <v>45.470859783898334</v>
      </c>
      <c r="I33" s="240">
        <v>43.585489259428236</v>
      </c>
      <c r="J33" s="149">
        <v>56.11939503828779</v>
      </c>
      <c r="K33" s="149">
        <v>54.19818055816258</v>
      </c>
      <c r="L33" s="149">
        <v>34.824881723232984</v>
      </c>
      <c r="M33" s="149">
        <v>29.76756422185241</v>
      </c>
      <c r="N33" s="149">
        <v>45.470859783898334</v>
      </c>
      <c r="O33" s="543">
        <v>43.585489259428236</v>
      </c>
      <c r="P33" s="156">
        <v>56.11939503828779</v>
      </c>
      <c r="Q33" s="156">
        <v>54.19818055816258</v>
      </c>
      <c r="R33" s="156">
        <v>34.824881723232984</v>
      </c>
      <c r="S33" s="156">
        <v>29.76756422185241</v>
      </c>
      <c r="T33" s="544">
        <v>45.470859783898334</v>
      </c>
      <c r="U33" s="545">
        <v>43.585489259428236</v>
      </c>
      <c r="V33" s="182">
        <v>56.11939503828779</v>
      </c>
      <c r="W33" s="182">
        <v>54.19818055816258</v>
      </c>
      <c r="X33" s="182">
        <v>34.824881723232984</v>
      </c>
      <c r="Y33" s="182">
        <v>29.76756422185241</v>
      </c>
      <c r="Z33" s="546">
        <v>45.470859783898334</v>
      </c>
      <c r="AA33" s="304">
        <v>43.585489259428236</v>
      </c>
      <c r="AB33" s="199">
        <v>56.11939503828779</v>
      </c>
      <c r="AC33" s="199">
        <v>54.19818055816258</v>
      </c>
      <c r="AD33" s="199">
        <v>34.824881723232984</v>
      </c>
      <c r="AE33" s="199">
        <v>29.76756422185241</v>
      </c>
      <c r="AF33" s="305">
        <v>45.470859783898334</v>
      </c>
      <c r="AG33" t="s">
        <v>110</v>
      </c>
    </row>
    <row r="34" spans="1:33" ht="12.75">
      <c r="A34" s="114" t="s">
        <v>24</v>
      </c>
      <c r="B34" s="517" t="s">
        <v>78</v>
      </c>
      <c r="C34" s="42">
        <v>583.2</v>
      </c>
      <c r="D34" s="43">
        <v>583.2</v>
      </c>
      <c r="E34" s="43">
        <v>583.2</v>
      </c>
      <c r="F34" s="43">
        <v>583.2</v>
      </c>
      <c r="G34" s="43">
        <v>583.2</v>
      </c>
      <c r="H34" s="44">
        <v>583.2</v>
      </c>
      <c r="I34" s="75">
        <v>583.2</v>
      </c>
      <c r="J34" s="76">
        <v>583.2</v>
      </c>
      <c r="K34" s="76">
        <v>583.2</v>
      </c>
      <c r="L34" s="76">
        <v>583.2</v>
      </c>
      <c r="M34" s="76">
        <v>583.2</v>
      </c>
      <c r="N34" s="76">
        <v>583.2</v>
      </c>
      <c r="O34" s="97">
        <v>583.2</v>
      </c>
      <c r="P34" s="98">
        <v>583.2</v>
      </c>
      <c r="Q34" s="98">
        <v>583.2</v>
      </c>
      <c r="R34" s="98">
        <v>583.2</v>
      </c>
      <c r="S34" s="98">
        <v>583.2</v>
      </c>
      <c r="T34" s="99">
        <v>583.2</v>
      </c>
      <c r="U34" s="434">
        <v>583.2</v>
      </c>
      <c r="V34" s="173">
        <v>583.2</v>
      </c>
      <c r="W34" s="173">
        <v>583.2</v>
      </c>
      <c r="X34" s="173">
        <v>583.2</v>
      </c>
      <c r="Y34" s="173">
        <v>583.2</v>
      </c>
      <c r="Z34" s="465">
        <v>583.2</v>
      </c>
      <c r="AA34" s="306">
        <v>583.2</v>
      </c>
      <c r="AB34" s="194">
        <v>583.2</v>
      </c>
      <c r="AC34" s="194">
        <v>583.2</v>
      </c>
      <c r="AD34" s="194">
        <v>583.2</v>
      </c>
      <c r="AE34" s="194">
        <v>583.2</v>
      </c>
      <c r="AF34" s="307">
        <v>583.2</v>
      </c>
      <c r="AG34" s="523" t="s">
        <v>126</v>
      </c>
    </row>
    <row r="35" spans="1:33" ht="12.75">
      <c r="A35" s="114" t="s">
        <v>25</v>
      </c>
      <c r="B35" s="517" t="s">
        <v>13</v>
      </c>
      <c r="C35" s="54">
        <v>9.73</v>
      </c>
      <c r="D35" s="140">
        <v>9.73</v>
      </c>
      <c r="E35" s="140">
        <v>9.73</v>
      </c>
      <c r="F35" s="140">
        <v>9.73</v>
      </c>
      <c r="G35" s="140">
        <v>9.73</v>
      </c>
      <c r="H35" s="247">
        <v>9.73</v>
      </c>
      <c r="I35" s="81">
        <v>9.73</v>
      </c>
      <c r="J35" s="151">
        <v>9.73</v>
      </c>
      <c r="K35" s="151">
        <v>9.73</v>
      </c>
      <c r="L35" s="151">
        <v>9.73</v>
      </c>
      <c r="M35" s="151">
        <v>9.73</v>
      </c>
      <c r="N35" s="151">
        <v>9.73</v>
      </c>
      <c r="O35" s="106">
        <v>9.73</v>
      </c>
      <c r="P35" s="158">
        <v>9.73</v>
      </c>
      <c r="Q35" s="158">
        <v>9.73</v>
      </c>
      <c r="R35" s="158">
        <v>9.73</v>
      </c>
      <c r="S35" s="158">
        <v>9.73</v>
      </c>
      <c r="T35" s="444">
        <v>9.73</v>
      </c>
      <c r="U35" s="438">
        <v>9.73</v>
      </c>
      <c r="V35" s="184">
        <v>9.73</v>
      </c>
      <c r="W35" s="184">
        <v>9.73</v>
      </c>
      <c r="X35" s="184">
        <v>9.73</v>
      </c>
      <c r="Y35" s="184">
        <v>9.73</v>
      </c>
      <c r="Z35" s="466">
        <v>9.73</v>
      </c>
      <c r="AA35" s="312">
        <v>9.73</v>
      </c>
      <c r="AB35" s="195">
        <v>9.73</v>
      </c>
      <c r="AC35" s="195">
        <v>9.73</v>
      </c>
      <c r="AD35" s="195">
        <v>9.73</v>
      </c>
      <c r="AE35" s="195">
        <v>9.73</v>
      </c>
      <c r="AF35" s="313">
        <v>9.73</v>
      </c>
      <c r="AG35" s="523" t="s">
        <v>126</v>
      </c>
    </row>
    <row r="36" spans="1:33" ht="13.5" thickBot="1">
      <c r="A36" s="455"/>
      <c r="B36" s="507"/>
      <c r="C36" s="461"/>
      <c r="D36" s="217"/>
      <c r="E36" s="217"/>
      <c r="F36" s="217"/>
      <c r="G36" s="217"/>
      <c r="H36" s="462"/>
      <c r="I36" s="458"/>
      <c r="J36" s="218"/>
      <c r="K36" s="218"/>
      <c r="L36" s="218"/>
      <c r="M36" s="218"/>
      <c r="N36" s="218"/>
      <c r="O36" s="446"/>
      <c r="P36" s="219"/>
      <c r="Q36" s="219"/>
      <c r="R36" s="219"/>
      <c r="S36" s="219"/>
      <c r="T36" s="447"/>
      <c r="U36" s="440"/>
      <c r="V36" s="220"/>
      <c r="W36" s="220"/>
      <c r="X36" s="220"/>
      <c r="Y36" s="220"/>
      <c r="Z36" s="468"/>
      <c r="AA36" s="477"/>
      <c r="AB36" s="221"/>
      <c r="AC36" s="221"/>
      <c r="AD36" s="221"/>
      <c r="AE36" s="221"/>
      <c r="AF36" s="478"/>
      <c r="AG36" s="23"/>
    </row>
    <row r="37" spans="1:33" ht="12.75">
      <c r="A37" s="456" t="s">
        <v>63</v>
      </c>
      <c r="B37" s="520"/>
      <c r="C37" s="245"/>
      <c r="D37" s="139"/>
      <c r="E37" s="139"/>
      <c r="F37" s="139"/>
      <c r="G37" s="139"/>
      <c r="H37" s="246"/>
      <c r="I37" s="335"/>
      <c r="J37" s="212"/>
      <c r="K37" s="212"/>
      <c r="L37" s="212"/>
      <c r="M37" s="212"/>
      <c r="N37" s="212"/>
      <c r="O37" s="448"/>
      <c r="P37" s="213"/>
      <c r="Q37" s="213"/>
      <c r="R37" s="213"/>
      <c r="S37" s="213"/>
      <c r="T37" s="449"/>
      <c r="U37" s="441"/>
      <c r="V37" s="214"/>
      <c r="W37" s="214"/>
      <c r="X37" s="214"/>
      <c r="Y37" s="214"/>
      <c r="Z37" s="469"/>
      <c r="AA37" s="382"/>
      <c r="AB37" s="205"/>
      <c r="AC37" s="205"/>
      <c r="AD37" s="205"/>
      <c r="AE37" s="205"/>
      <c r="AF37" s="383"/>
      <c r="AG37" s="216"/>
    </row>
    <row r="38" spans="1:33" ht="14.25">
      <c r="A38" s="114" t="s">
        <v>53</v>
      </c>
      <c r="B38" s="517" t="s">
        <v>120</v>
      </c>
      <c r="C38" s="245">
        <v>25.598305407279483</v>
      </c>
      <c r="D38" s="139">
        <v>25.61025463689201</v>
      </c>
      <c r="E38" s="139">
        <v>25.8951453165255</v>
      </c>
      <c r="F38" s="139">
        <v>23.23542893842223</v>
      </c>
      <c r="G38" s="139">
        <v>26.49709015397603</v>
      </c>
      <c r="H38" s="246">
        <v>26.69230919126673</v>
      </c>
      <c r="I38" s="335">
        <v>25.598305407279483</v>
      </c>
      <c r="J38" s="212">
        <v>25.61025463689201</v>
      </c>
      <c r="K38" s="212">
        <v>25.8951453165255</v>
      </c>
      <c r="L38" s="212">
        <v>23.23542893842223</v>
      </c>
      <c r="M38" s="212">
        <v>26.49709015397603</v>
      </c>
      <c r="N38" s="212">
        <v>26.69230919126673</v>
      </c>
      <c r="O38" s="448">
        <v>25.598305407279483</v>
      </c>
      <c r="P38" s="213">
        <v>25.61025463689201</v>
      </c>
      <c r="Q38" s="213">
        <v>25.8951453165255</v>
      </c>
      <c r="R38" s="213">
        <v>23.23542893842223</v>
      </c>
      <c r="S38" s="213">
        <v>26.49709015397603</v>
      </c>
      <c r="T38" s="449">
        <v>26.69230919126673</v>
      </c>
      <c r="U38" s="441">
        <v>25.598305407279483</v>
      </c>
      <c r="V38" s="214">
        <v>25.61025463689201</v>
      </c>
      <c r="W38" s="214">
        <v>25.8951453165255</v>
      </c>
      <c r="X38" s="214">
        <v>23.23542893842223</v>
      </c>
      <c r="Y38" s="214">
        <v>26.49709015397603</v>
      </c>
      <c r="Z38" s="469">
        <v>26.69230919126673</v>
      </c>
      <c r="AA38" s="382">
        <v>25.598305407279483</v>
      </c>
      <c r="AB38" s="205">
        <v>25.61025463689201</v>
      </c>
      <c r="AC38" s="205">
        <v>25.8951453165255</v>
      </c>
      <c r="AD38" s="205">
        <v>23.23542893842223</v>
      </c>
      <c r="AE38" s="205">
        <v>26.49709015397603</v>
      </c>
      <c r="AF38" s="383">
        <v>26.69230919126673</v>
      </c>
      <c r="AG38" t="s">
        <v>110</v>
      </c>
    </row>
    <row r="39" spans="1:33" ht="12.75">
      <c r="A39" s="114" t="s">
        <v>24</v>
      </c>
      <c r="B39" s="517" t="s">
        <v>78</v>
      </c>
      <c r="C39" s="42">
        <v>1017.8</v>
      </c>
      <c r="D39" s="43">
        <v>1017.8</v>
      </c>
      <c r="E39" s="43">
        <v>1017.8</v>
      </c>
      <c r="F39" s="43">
        <v>1017.8</v>
      </c>
      <c r="G39" s="43">
        <v>1017.8</v>
      </c>
      <c r="H39" s="44">
        <v>1017.8</v>
      </c>
      <c r="I39" s="75">
        <v>1017.8</v>
      </c>
      <c r="J39" s="76">
        <v>1017.8</v>
      </c>
      <c r="K39" s="76">
        <v>1017.8</v>
      </c>
      <c r="L39" s="76">
        <v>1017.8</v>
      </c>
      <c r="M39" s="76">
        <v>1017.8</v>
      </c>
      <c r="N39" s="76">
        <v>1017.8</v>
      </c>
      <c r="O39" s="97">
        <v>1017.8</v>
      </c>
      <c r="P39" s="98">
        <v>1017.8</v>
      </c>
      <c r="Q39" s="98">
        <v>1017.8</v>
      </c>
      <c r="R39" s="98">
        <v>1017.8</v>
      </c>
      <c r="S39" s="98">
        <v>1017.8</v>
      </c>
      <c r="T39" s="99">
        <v>1017.8</v>
      </c>
      <c r="U39" s="434">
        <v>1017.8</v>
      </c>
      <c r="V39" s="173">
        <v>1017.8</v>
      </c>
      <c r="W39" s="173">
        <v>1017.8</v>
      </c>
      <c r="X39" s="173">
        <v>1017.8</v>
      </c>
      <c r="Y39" s="173">
        <v>1017.8</v>
      </c>
      <c r="Z39" s="465">
        <v>1017.8</v>
      </c>
      <c r="AA39" s="306">
        <v>1017.8</v>
      </c>
      <c r="AB39" s="194">
        <v>1017.8</v>
      </c>
      <c r="AC39" s="194">
        <v>1017.8</v>
      </c>
      <c r="AD39" s="194">
        <v>1017.8</v>
      </c>
      <c r="AE39" s="194">
        <v>1017.8</v>
      </c>
      <c r="AF39" s="307">
        <v>1017.8</v>
      </c>
      <c r="AG39" s="523" t="s">
        <v>126</v>
      </c>
    </row>
    <row r="40" spans="1:33" ht="13.5" thickBot="1">
      <c r="A40" s="117" t="s">
        <v>25</v>
      </c>
      <c r="B40" s="507" t="s">
        <v>81</v>
      </c>
      <c r="C40" s="55">
        <v>15.47</v>
      </c>
      <c r="D40" s="206">
        <v>15.47</v>
      </c>
      <c r="E40" s="206">
        <v>15.47</v>
      </c>
      <c r="F40" s="206">
        <v>15.47</v>
      </c>
      <c r="G40" s="206">
        <v>15.47</v>
      </c>
      <c r="H40" s="417">
        <v>15.47</v>
      </c>
      <c r="I40" s="82">
        <v>15.47</v>
      </c>
      <c r="J40" s="207">
        <v>15.47</v>
      </c>
      <c r="K40" s="207">
        <v>15.47</v>
      </c>
      <c r="L40" s="207">
        <v>15.47</v>
      </c>
      <c r="M40" s="207">
        <v>15.47</v>
      </c>
      <c r="N40" s="207">
        <v>15.47</v>
      </c>
      <c r="O40" s="107">
        <v>15.47</v>
      </c>
      <c r="P40" s="208">
        <v>15.47</v>
      </c>
      <c r="Q40" s="208">
        <v>15.47</v>
      </c>
      <c r="R40" s="208">
        <v>15.47</v>
      </c>
      <c r="S40" s="208">
        <v>15.47</v>
      </c>
      <c r="T40" s="445">
        <v>15.47</v>
      </c>
      <c r="U40" s="439">
        <v>15.47</v>
      </c>
      <c r="V40" s="209">
        <v>15.47</v>
      </c>
      <c r="W40" s="209">
        <v>15.47</v>
      </c>
      <c r="X40" s="209">
        <v>15.47</v>
      </c>
      <c r="Y40" s="209">
        <v>15.47</v>
      </c>
      <c r="Z40" s="467">
        <v>15.47</v>
      </c>
      <c r="AA40" s="420">
        <v>15.47</v>
      </c>
      <c r="AB40" s="210">
        <v>15.47</v>
      </c>
      <c r="AC40" s="210">
        <v>15.47</v>
      </c>
      <c r="AD40" s="210">
        <v>15.47</v>
      </c>
      <c r="AE40" s="210">
        <v>15.47</v>
      </c>
      <c r="AF40" s="421">
        <v>15.47</v>
      </c>
      <c r="AG40" s="523" t="s">
        <v>126</v>
      </c>
    </row>
    <row r="41" spans="1:33" ht="13.5" thickBot="1">
      <c r="A41" s="115"/>
      <c r="B41" s="518"/>
      <c r="C41" s="62"/>
      <c r="D41" s="63"/>
      <c r="E41" s="63"/>
      <c r="F41" s="63"/>
      <c r="G41" s="63"/>
      <c r="H41" s="64"/>
      <c r="I41" s="77"/>
      <c r="J41" s="78"/>
      <c r="K41" s="78"/>
      <c r="L41" s="78"/>
      <c r="M41" s="78"/>
      <c r="N41" s="78"/>
      <c r="O41" s="100"/>
      <c r="P41" s="101"/>
      <c r="Q41" s="101"/>
      <c r="R41" s="101"/>
      <c r="S41" s="101"/>
      <c r="T41" s="102"/>
      <c r="U41" s="435"/>
      <c r="V41" s="178"/>
      <c r="W41" s="178"/>
      <c r="X41" s="178"/>
      <c r="Y41" s="178"/>
      <c r="Z41" s="179"/>
      <c r="AA41" s="384"/>
      <c r="AB41" s="211"/>
      <c r="AC41" s="211"/>
      <c r="AD41" s="211"/>
      <c r="AE41" s="211"/>
      <c r="AF41" s="385"/>
      <c r="AG41" s="21"/>
    </row>
    <row r="42" spans="1:33" ht="13.5" thickBot="1">
      <c r="A42" s="116" t="s">
        <v>64</v>
      </c>
      <c r="B42" s="519"/>
      <c r="C42" s="65"/>
      <c r="D42" s="66"/>
      <c r="E42" s="66"/>
      <c r="F42" s="66"/>
      <c r="G42" s="66"/>
      <c r="H42" s="67"/>
      <c r="I42" s="79"/>
      <c r="J42" s="80"/>
      <c r="K42" s="80"/>
      <c r="L42" s="80"/>
      <c r="M42" s="80"/>
      <c r="N42" s="80"/>
      <c r="O42" s="103"/>
      <c r="P42" s="104"/>
      <c r="Q42" s="104"/>
      <c r="R42" s="104"/>
      <c r="S42" s="104"/>
      <c r="T42" s="105"/>
      <c r="U42" s="436"/>
      <c r="V42" s="171"/>
      <c r="W42" s="171"/>
      <c r="X42" s="171"/>
      <c r="Y42" s="171"/>
      <c r="Z42" s="180"/>
      <c r="AA42" s="389"/>
      <c r="AB42" s="191"/>
      <c r="AC42" s="191"/>
      <c r="AD42" s="191"/>
      <c r="AE42" s="191"/>
      <c r="AF42" s="192"/>
      <c r="AG42" s="215"/>
    </row>
    <row r="43" spans="1:33" ht="12.75">
      <c r="A43" s="114" t="s">
        <v>54</v>
      </c>
      <c r="B43" s="517" t="s">
        <v>42</v>
      </c>
      <c r="C43" s="65">
        <v>2.209813572481422</v>
      </c>
      <c r="D43" s="66">
        <v>3.8800814326977875</v>
      </c>
      <c r="E43" s="66">
        <v>3.661620502898496</v>
      </c>
      <c r="F43" s="66">
        <v>1.8587305753806058</v>
      </c>
      <c r="G43" s="66">
        <v>0.2746883227590502</v>
      </c>
      <c r="H43" s="67">
        <v>1.750908070768538</v>
      </c>
      <c r="I43" s="79">
        <v>2.209813572481422</v>
      </c>
      <c r="J43" s="80">
        <v>3.8800814326977875</v>
      </c>
      <c r="K43" s="80">
        <v>3.661620502898496</v>
      </c>
      <c r="L43" s="80">
        <v>1.8587305753806058</v>
      </c>
      <c r="M43" s="80">
        <v>0.2746883227590502</v>
      </c>
      <c r="N43" s="80">
        <v>1.750908070768538</v>
      </c>
      <c r="O43" s="103">
        <v>2.209813572481422</v>
      </c>
      <c r="P43" s="104">
        <v>3.8800814326977875</v>
      </c>
      <c r="Q43" s="104">
        <v>3.661620502898496</v>
      </c>
      <c r="R43" s="104">
        <v>1.8587305753806058</v>
      </c>
      <c r="S43" s="104">
        <v>0.2746883227590502</v>
      </c>
      <c r="T43" s="105">
        <v>1.750908070768538</v>
      </c>
      <c r="U43" s="436">
        <v>2.209813572481422</v>
      </c>
      <c r="V43" s="171">
        <v>3.8800814326977875</v>
      </c>
      <c r="W43" s="171">
        <v>3.661620502898496</v>
      </c>
      <c r="X43" s="171">
        <v>1.8587305753806058</v>
      </c>
      <c r="Y43" s="171">
        <v>0.2746883227590502</v>
      </c>
      <c r="Z43" s="180">
        <v>1.750908070768538</v>
      </c>
      <c r="AA43" s="389">
        <v>2.209813572481422</v>
      </c>
      <c r="AB43" s="191">
        <v>3.8800814326977875</v>
      </c>
      <c r="AC43" s="191">
        <v>3.661620502898496</v>
      </c>
      <c r="AD43" s="191">
        <v>1.8587305753806058</v>
      </c>
      <c r="AE43" s="191">
        <v>0.2746883227590502</v>
      </c>
      <c r="AF43" s="192">
        <v>1.750908070768538</v>
      </c>
      <c r="AG43" t="s">
        <v>111</v>
      </c>
    </row>
    <row r="44" spans="1:33" ht="12.75">
      <c r="A44" s="114" t="s">
        <v>24</v>
      </c>
      <c r="B44" s="517" t="s">
        <v>44</v>
      </c>
      <c r="C44" s="42">
        <v>17257</v>
      </c>
      <c r="D44" s="43">
        <v>17257</v>
      </c>
      <c r="E44" s="43">
        <v>17257</v>
      </c>
      <c r="F44" s="43">
        <v>17257</v>
      </c>
      <c r="G44" s="43">
        <v>17257</v>
      </c>
      <c r="H44" s="44">
        <v>17257</v>
      </c>
      <c r="I44" s="75">
        <v>17257</v>
      </c>
      <c r="J44" s="76">
        <v>17257</v>
      </c>
      <c r="K44" s="76">
        <v>17257</v>
      </c>
      <c r="L44" s="76">
        <v>17257</v>
      </c>
      <c r="M44" s="76">
        <v>17257</v>
      </c>
      <c r="N44" s="76">
        <v>17257</v>
      </c>
      <c r="O44" s="97">
        <v>17257</v>
      </c>
      <c r="P44" s="98">
        <v>17257</v>
      </c>
      <c r="Q44" s="98">
        <v>17257</v>
      </c>
      <c r="R44" s="98">
        <v>17257</v>
      </c>
      <c r="S44" s="98">
        <v>17257</v>
      </c>
      <c r="T44" s="99">
        <v>17257</v>
      </c>
      <c r="U44" s="434">
        <v>17257</v>
      </c>
      <c r="V44" s="173">
        <v>17257</v>
      </c>
      <c r="W44" s="173">
        <v>17257</v>
      </c>
      <c r="X44" s="173">
        <v>17257</v>
      </c>
      <c r="Y44" s="173">
        <v>17257</v>
      </c>
      <c r="Z44" s="465">
        <v>17257</v>
      </c>
      <c r="AA44" s="306">
        <v>17257</v>
      </c>
      <c r="AB44" s="194">
        <v>17257</v>
      </c>
      <c r="AC44" s="194">
        <v>17257</v>
      </c>
      <c r="AD44" s="194">
        <v>17257</v>
      </c>
      <c r="AE44" s="194">
        <v>17257</v>
      </c>
      <c r="AF44" s="307">
        <v>17257</v>
      </c>
      <c r="AG44" s="523" t="s">
        <v>126</v>
      </c>
    </row>
    <row r="45" spans="1:33" ht="13.5" thickBot="1">
      <c r="A45" s="117" t="s">
        <v>25</v>
      </c>
      <c r="B45" s="507" t="s">
        <v>13</v>
      </c>
      <c r="C45" s="55">
        <v>272.55</v>
      </c>
      <c r="D45" s="206">
        <v>272.55</v>
      </c>
      <c r="E45" s="206">
        <v>272.55</v>
      </c>
      <c r="F45" s="206">
        <v>272.55</v>
      </c>
      <c r="G45" s="206">
        <v>272.55</v>
      </c>
      <c r="H45" s="417">
        <v>272.55</v>
      </c>
      <c r="I45" s="82">
        <v>272.55</v>
      </c>
      <c r="J45" s="207">
        <v>272.55</v>
      </c>
      <c r="K45" s="207">
        <v>272.55</v>
      </c>
      <c r="L45" s="207">
        <v>272.55</v>
      </c>
      <c r="M45" s="207">
        <v>272.55</v>
      </c>
      <c r="N45" s="207">
        <v>272.55</v>
      </c>
      <c r="O45" s="107">
        <v>272.55</v>
      </c>
      <c r="P45" s="208">
        <v>272.55</v>
      </c>
      <c r="Q45" s="208">
        <v>272.55</v>
      </c>
      <c r="R45" s="208">
        <v>272.55</v>
      </c>
      <c r="S45" s="208">
        <v>272.55</v>
      </c>
      <c r="T45" s="445">
        <v>272.55</v>
      </c>
      <c r="U45" s="439">
        <v>272.55</v>
      </c>
      <c r="V45" s="209">
        <v>272.55</v>
      </c>
      <c r="W45" s="209">
        <v>272.55</v>
      </c>
      <c r="X45" s="209">
        <v>272.55</v>
      </c>
      <c r="Y45" s="209">
        <v>272.55</v>
      </c>
      <c r="Z45" s="467">
        <v>272.55</v>
      </c>
      <c r="AA45" s="420">
        <v>272.55</v>
      </c>
      <c r="AB45" s="210">
        <v>272.55</v>
      </c>
      <c r="AC45" s="210">
        <v>272.55</v>
      </c>
      <c r="AD45" s="210">
        <v>272.55</v>
      </c>
      <c r="AE45" s="210">
        <v>272.55</v>
      </c>
      <c r="AF45" s="421">
        <v>272.55</v>
      </c>
      <c r="AG45" s="523" t="s">
        <v>126</v>
      </c>
    </row>
    <row r="46" spans="1:33" ht="13.5" thickBot="1">
      <c r="A46" s="115"/>
      <c r="B46" s="518"/>
      <c r="C46" s="56"/>
      <c r="D46" s="57"/>
      <c r="E46" s="57"/>
      <c r="F46" s="57"/>
      <c r="G46" s="57"/>
      <c r="H46" s="58"/>
      <c r="I46" s="77"/>
      <c r="J46" s="78"/>
      <c r="K46" s="78"/>
      <c r="L46" s="78"/>
      <c r="M46" s="78"/>
      <c r="N46" s="78"/>
      <c r="O46" s="100"/>
      <c r="P46" s="101"/>
      <c r="Q46" s="101"/>
      <c r="R46" s="101"/>
      <c r="S46" s="101"/>
      <c r="T46" s="102"/>
      <c r="U46" s="435"/>
      <c r="V46" s="178"/>
      <c r="W46" s="178"/>
      <c r="X46" s="178"/>
      <c r="Y46" s="178"/>
      <c r="Z46" s="179"/>
      <c r="AA46" s="384"/>
      <c r="AB46" s="211"/>
      <c r="AC46" s="211"/>
      <c r="AD46" s="211"/>
      <c r="AE46" s="211"/>
      <c r="AF46" s="385"/>
      <c r="AG46" s="21"/>
    </row>
    <row r="47" spans="1:33" ht="12.75">
      <c r="A47" s="116" t="s">
        <v>65</v>
      </c>
      <c r="B47" s="519"/>
      <c r="C47" s="65"/>
      <c r="D47" s="66"/>
      <c r="E47" s="66"/>
      <c r="F47" s="66"/>
      <c r="G47" s="66"/>
      <c r="H47" s="67"/>
      <c r="I47" s="79"/>
      <c r="J47" s="80"/>
      <c r="K47" s="80"/>
      <c r="L47" s="80"/>
      <c r="M47" s="80"/>
      <c r="N47" s="80"/>
      <c r="O47" s="103"/>
      <c r="P47" s="104"/>
      <c r="Q47" s="104"/>
      <c r="R47" s="104"/>
      <c r="S47" s="104"/>
      <c r="T47" s="105"/>
      <c r="U47" s="436"/>
      <c r="V47" s="171"/>
      <c r="W47" s="171"/>
      <c r="X47" s="171"/>
      <c r="Y47" s="171"/>
      <c r="Z47" s="180"/>
      <c r="AA47" s="389"/>
      <c r="AB47" s="191"/>
      <c r="AC47" s="191"/>
      <c r="AD47" s="191"/>
      <c r="AE47" s="191"/>
      <c r="AF47" s="192"/>
      <c r="AG47" s="22"/>
    </row>
    <row r="48" spans="1:33" ht="14.25" customHeight="1">
      <c r="A48" s="114" t="s">
        <v>47</v>
      </c>
      <c r="B48" s="517" t="s">
        <v>42</v>
      </c>
      <c r="C48" s="547">
        <v>166.27</v>
      </c>
      <c r="D48" s="548">
        <v>183.13</v>
      </c>
      <c r="E48" s="548">
        <v>152.93</v>
      </c>
      <c r="F48" s="548">
        <v>184.36</v>
      </c>
      <c r="G48" s="548">
        <v>162.1</v>
      </c>
      <c r="H48" s="549">
        <v>164.72</v>
      </c>
      <c r="I48" s="550">
        <v>5.41</v>
      </c>
      <c r="J48" s="551">
        <v>4.27</v>
      </c>
      <c r="K48" s="551">
        <v>5.26</v>
      </c>
      <c r="L48" s="551">
        <v>5.56</v>
      </c>
      <c r="M48" s="551">
        <v>5.26</v>
      </c>
      <c r="N48" s="551">
        <v>5.68</v>
      </c>
      <c r="O48" s="552">
        <v>24.27</v>
      </c>
      <c r="P48" s="553">
        <v>23.88</v>
      </c>
      <c r="Q48" s="553">
        <v>24.78</v>
      </c>
      <c r="R48" s="553">
        <v>24.18</v>
      </c>
      <c r="S48" s="553">
        <v>24.5</v>
      </c>
      <c r="T48" s="554">
        <v>23.3</v>
      </c>
      <c r="U48" s="555">
        <v>3.3</v>
      </c>
      <c r="V48" s="556">
        <v>3.3</v>
      </c>
      <c r="W48" s="556">
        <v>3.3</v>
      </c>
      <c r="X48" s="556">
        <v>3.3</v>
      </c>
      <c r="Y48" s="556">
        <v>3.3</v>
      </c>
      <c r="Z48" s="557">
        <v>3.3</v>
      </c>
      <c r="AA48" s="558">
        <v>3.3</v>
      </c>
      <c r="AB48" s="559">
        <v>3.3</v>
      </c>
      <c r="AC48" s="559">
        <v>3.3</v>
      </c>
      <c r="AD48" s="559">
        <v>3.3</v>
      </c>
      <c r="AE48" s="559">
        <v>3.3</v>
      </c>
      <c r="AF48" s="560">
        <v>3.3</v>
      </c>
      <c r="AG48" s="20" t="s">
        <v>102</v>
      </c>
    </row>
    <row r="49" spans="1:33" ht="12.75">
      <c r="A49" s="114" t="s">
        <v>24</v>
      </c>
      <c r="B49" s="517" t="s">
        <v>44</v>
      </c>
      <c r="C49" s="51">
        <v>154.55</v>
      </c>
      <c r="D49" s="52">
        <v>154.55</v>
      </c>
      <c r="E49" s="52">
        <v>154.55</v>
      </c>
      <c r="F49" s="52">
        <v>154.55</v>
      </c>
      <c r="G49" s="52">
        <v>154.55</v>
      </c>
      <c r="H49" s="53">
        <v>154.55</v>
      </c>
      <c r="I49" s="85">
        <v>154.55</v>
      </c>
      <c r="J49" s="86">
        <v>154.55</v>
      </c>
      <c r="K49" s="86">
        <v>154.55</v>
      </c>
      <c r="L49" s="86">
        <v>154.55</v>
      </c>
      <c r="M49" s="86">
        <v>154.55</v>
      </c>
      <c r="N49" s="86">
        <v>154.55</v>
      </c>
      <c r="O49" s="108">
        <v>154.55</v>
      </c>
      <c r="P49" s="109">
        <v>154.55</v>
      </c>
      <c r="Q49" s="109">
        <v>154.55</v>
      </c>
      <c r="R49" s="109">
        <v>154.55</v>
      </c>
      <c r="S49" s="109">
        <v>154.55</v>
      </c>
      <c r="T49" s="110">
        <v>154.55</v>
      </c>
      <c r="U49" s="433">
        <v>154.55</v>
      </c>
      <c r="V49" s="166">
        <v>154.55</v>
      </c>
      <c r="W49" s="166">
        <v>154.55</v>
      </c>
      <c r="X49" s="166">
        <v>154.55</v>
      </c>
      <c r="Y49" s="166">
        <v>154.55</v>
      </c>
      <c r="Z49" s="464">
        <v>154.55</v>
      </c>
      <c r="AA49" s="310">
        <v>154.55</v>
      </c>
      <c r="AB49" s="196">
        <v>154.55</v>
      </c>
      <c r="AC49" s="196">
        <v>154.55</v>
      </c>
      <c r="AD49" s="196">
        <v>154.55</v>
      </c>
      <c r="AE49" s="196">
        <v>154.55</v>
      </c>
      <c r="AF49" s="311">
        <v>154.55</v>
      </c>
      <c r="AG49" s="523" t="s">
        <v>126</v>
      </c>
    </row>
    <row r="50" spans="1:33" ht="13.5" thickBot="1">
      <c r="A50" s="117" t="s">
        <v>25</v>
      </c>
      <c r="B50" s="507" t="s">
        <v>81</v>
      </c>
      <c r="C50" s="55">
        <v>2.88</v>
      </c>
      <c r="D50" s="206">
        <v>2.88</v>
      </c>
      <c r="E50" s="206">
        <v>2.88</v>
      </c>
      <c r="F50" s="206">
        <v>2.88</v>
      </c>
      <c r="G50" s="206">
        <v>2.88</v>
      </c>
      <c r="H50" s="417">
        <v>2.88</v>
      </c>
      <c r="I50" s="82">
        <v>2.88</v>
      </c>
      <c r="J50" s="207">
        <v>2.88</v>
      </c>
      <c r="K50" s="207">
        <v>2.88</v>
      </c>
      <c r="L50" s="207">
        <v>2.88</v>
      </c>
      <c r="M50" s="207">
        <v>2.88</v>
      </c>
      <c r="N50" s="207">
        <v>2.88</v>
      </c>
      <c r="O50" s="107">
        <v>2.88</v>
      </c>
      <c r="P50" s="208">
        <v>2.88</v>
      </c>
      <c r="Q50" s="208">
        <v>2.88</v>
      </c>
      <c r="R50" s="208">
        <v>2.88</v>
      </c>
      <c r="S50" s="208">
        <v>2.88</v>
      </c>
      <c r="T50" s="445">
        <v>2.88</v>
      </c>
      <c r="U50" s="439">
        <v>2.88</v>
      </c>
      <c r="V50" s="209">
        <v>2.88</v>
      </c>
      <c r="W50" s="209">
        <v>2.88</v>
      </c>
      <c r="X50" s="209">
        <v>2.88</v>
      </c>
      <c r="Y50" s="209">
        <v>2.88</v>
      </c>
      <c r="Z50" s="467">
        <v>2.88</v>
      </c>
      <c r="AA50" s="420">
        <v>2.88</v>
      </c>
      <c r="AB50" s="210">
        <v>2.88</v>
      </c>
      <c r="AC50" s="210">
        <v>2.88</v>
      </c>
      <c r="AD50" s="210">
        <v>2.88</v>
      </c>
      <c r="AE50" s="210">
        <v>2.88</v>
      </c>
      <c r="AF50" s="421">
        <v>2.88</v>
      </c>
      <c r="AG50" s="523" t="s">
        <v>126</v>
      </c>
    </row>
    <row r="51" spans="1:33" ht="13.5" thickBot="1">
      <c r="A51" s="115"/>
      <c r="B51" s="518"/>
      <c r="C51" s="45"/>
      <c r="D51" s="46"/>
      <c r="E51" s="46"/>
      <c r="F51" s="46"/>
      <c r="G51" s="46"/>
      <c r="H51" s="47"/>
      <c r="I51" s="77"/>
      <c r="J51" s="78"/>
      <c r="K51" s="78"/>
      <c r="L51" s="78"/>
      <c r="M51" s="78"/>
      <c r="N51" s="78"/>
      <c r="O51" s="100"/>
      <c r="P51" s="101"/>
      <c r="Q51" s="101"/>
      <c r="R51" s="101"/>
      <c r="S51" s="101"/>
      <c r="T51" s="102"/>
      <c r="U51" s="435"/>
      <c r="V51" s="170"/>
      <c r="W51" s="170"/>
      <c r="X51" s="170"/>
      <c r="Y51" s="170"/>
      <c r="Z51" s="170"/>
      <c r="AA51" s="384"/>
      <c r="AB51" s="211"/>
      <c r="AC51" s="211"/>
      <c r="AD51" s="211"/>
      <c r="AE51" s="211"/>
      <c r="AF51" s="385"/>
      <c r="AG51" s="21"/>
    </row>
    <row r="52" spans="1:33" ht="12.75">
      <c r="A52" s="116" t="s">
        <v>37</v>
      </c>
      <c r="B52" s="519"/>
      <c r="C52" s="48"/>
      <c r="D52" s="49"/>
      <c r="E52" s="49"/>
      <c r="F52" s="49"/>
      <c r="G52" s="49"/>
      <c r="H52" s="50"/>
      <c r="I52" s="79"/>
      <c r="J52" s="80"/>
      <c r="K52" s="80"/>
      <c r="L52" s="80"/>
      <c r="M52" s="80"/>
      <c r="N52" s="80"/>
      <c r="O52" s="103"/>
      <c r="P52" s="104"/>
      <c r="Q52" s="104"/>
      <c r="R52" s="104"/>
      <c r="S52" s="104"/>
      <c r="T52" s="105"/>
      <c r="U52" s="436"/>
      <c r="V52" s="171"/>
      <c r="W52" s="171"/>
      <c r="X52" s="171"/>
      <c r="Y52" s="171"/>
      <c r="Z52" s="180"/>
      <c r="AA52" s="389"/>
      <c r="AB52" s="191"/>
      <c r="AC52" s="191"/>
      <c r="AD52" s="191"/>
      <c r="AE52" s="191"/>
      <c r="AF52" s="192"/>
      <c r="AG52" s="22"/>
    </row>
    <row r="53" spans="1:34" ht="76.5">
      <c r="A53" s="114" t="s">
        <v>10</v>
      </c>
      <c r="B53" s="517" t="s">
        <v>92</v>
      </c>
      <c r="C53" s="561">
        <v>0.0236</v>
      </c>
      <c r="D53" s="561">
        <v>0.0236</v>
      </c>
      <c r="E53" s="561">
        <v>0.0236</v>
      </c>
      <c r="F53" s="561">
        <v>0.0236</v>
      </c>
      <c r="G53" s="561">
        <v>0.0236</v>
      </c>
      <c r="H53" s="562">
        <v>0.0236</v>
      </c>
      <c r="I53" s="563">
        <v>0.0117</v>
      </c>
      <c r="J53" s="564">
        <v>0.0117</v>
      </c>
      <c r="K53" s="564">
        <v>0.0117</v>
      </c>
      <c r="L53" s="564">
        <v>0.0117</v>
      </c>
      <c r="M53" s="564">
        <v>0.0117</v>
      </c>
      <c r="N53" s="564">
        <v>0.0117</v>
      </c>
      <c r="O53" s="565">
        <v>0.014</v>
      </c>
      <c r="P53" s="566">
        <v>0.014</v>
      </c>
      <c r="Q53" s="566">
        <v>0.014</v>
      </c>
      <c r="R53" s="566">
        <v>0.014</v>
      </c>
      <c r="S53" s="566">
        <v>0.014</v>
      </c>
      <c r="T53" s="567">
        <v>0.014</v>
      </c>
      <c r="U53" s="568">
        <v>0.0419</v>
      </c>
      <c r="V53" s="569">
        <v>0.0419</v>
      </c>
      <c r="W53" s="569">
        <v>0.0419</v>
      </c>
      <c r="X53" s="569">
        <v>0.0419</v>
      </c>
      <c r="Y53" s="569">
        <v>0.0419</v>
      </c>
      <c r="Z53" s="570">
        <v>0.0419</v>
      </c>
      <c r="AA53" s="571">
        <v>0.0419</v>
      </c>
      <c r="AB53" s="572">
        <v>0.0419</v>
      </c>
      <c r="AC53" s="572">
        <v>0.0419</v>
      </c>
      <c r="AD53" s="572">
        <v>0.0419</v>
      </c>
      <c r="AE53" s="572">
        <v>0.0419</v>
      </c>
      <c r="AF53" s="573">
        <v>0.0419</v>
      </c>
      <c r="AG53" s="574" t="s">
        <v>154</v>
      </c>
      <c r="AH53" s="123"/>
    </row>
    <row r="54" spans="1:33" ht="13.5" thickBot="1">
      <c r="A54" s="117" t="s">
        <v>38</v>
      </c>
      <c r="B54" s="507" t="s">
        <v>78</v>
      </c>
      <c r="C54" s="68">
        <v>296</v>
      </c>
      <c r="D54" s="138">
        <v>296</v>
      </c>
      <c r="E54" s="138">
        <v>296</v>
      </c>
      <c r="F54" s="138">
        <v>296</v>
      </c>
      <c r="G54" s="138">
        <v>296</v>
      </c>
      <c r="H54" s="244">
        <v>296</v>
      </c>
      <c r="I54" s="87">
        <v>296</v>
      </c>
      <c r="J54" s="150">
        <v>296</v>
      </c>
      <c r="K54" s="150">
        <v>296</v>
      </c>
      <c r="L54" s="150">
        <v>296</v>
      </c>
      <c r="M54" s="150">
        <v>296</v>
      </c>
      <c r="N54" s="150">
        <v>296</v>
      </c>
      <c r="O54" s="450">
        <v>296</v>
      </c>
      <c r="P54" s="157">
        <v>296</v>
      </c>
      <c r="Q54" s="157">
        <v>296</v>
      </c>
      <c r="R54" s="157">
        <v>296</v>
      </c>
      <c r="S54" s="157">
        <v>296</v>
      </c>
      <c r="T54" s="451">
        <v>296</v>
      </c>
      <c r="U54" s="442">
        <v>296</v>
      </c>
      <c r="V54" s="183">
        <v>296</v>
      </c>
      <c r="W54" s="183">
        <v>296</v>
      </c>
      <c r="X54" s="183">
        <v>296</v>
      </c>
      <c r="Y54" s="183">
        <v>296</v>
      </c>
      <c r="Z54" s="470">
        <v>296</v>
      </c>
      <c r="AA54" s="308">
        <v>296</v>
      </c>
      <c r="AB54" s="200">
        <v>296</v>
      </c>
      <c r="AC54" s="200">
        <v>296</v>
      </c>
      <c r="AD54" s="200">
        <v>296</v>
      </c>
      <c r="AE54" s="200">
        <v>296</v>
      </c>
      <c r="AF54" s="309">
        <v>296</v>
      </c>
      <c r="AG54" s="33" t="s">
        <v>77</v>
      </c>
    </row>
    <row r="55" spans="1:33" ht="13.5" thickBot="1">
      <c r="A55" s="115"/>
      <c r="B55" s="518"/>
      <c r="C55" s="45"/>
      <c r="D55" s="46"/>
      <c r="E55" s="46"/>
      <c r="F55" s="46"/>
      <c r="G55" s="46"/>
      <c r="H55" s="47"/>
      <c r="I55" s="77"/>
      <c r="J55" s="78"/>
      <c r="K55" s="78"/>
      <c r="L55" s="78"/>
      <c r="M55" s="78"/>
      <c r="N55" s="78"/>
      <c r="O55" s="100"/>
      <c r="P55" s="101"/>
      <c r="Q55" s="101"/>
      <c r="R55" s="101"/>
      <c r="S55" s="101"/>
      <c r="T55" s="102"/>
      <c r="U55" s="435"/>
      <c r="V55" s="178"/>
      <c r="W55" s="178"/>
      <c r="X55" s="178"/>
      <c r="Y55" s="178"/>
      <c r="Z55" s="179"/>
      <c r="AA55" s="384"/>
      <c r="AB55" s="211"/>
      <c r="AC55" s="211"/>
      <c r="AD55" s="211"/>
      <c r="AE55" s="211"/>
      <c r="AF55" s="385"/>
      <c r="AG55" s="21"/>
    </row>
    <row r="56" spans="1:33" ht="13.5" thickBot="1">
      <c r="A56" s="118" t="s">
        <v>66</v>
      </c>
      <c r="B56" s="521" t="s">
        <v>41</v>
      </c>
      <c r="C56" s="69">
        <v>0</v>
      </c>
      <c r="D56" s="70">
        <v>0</v>
      </c>
      <c r="E56" s="70">
        <v>0</v>
      </c>
      <c r="F56" s="70">
        <v>0</v>
      </c>
      <c r="G56" s="70">
        <v>0</v>
      </c>
      <c r="H56" s="71">
        <v>0</v>
      </c>
      <c r="I56" s="88">
        <v>0</v>
      </c>
      <c r="J56" s="89">
        <v>0</v>
      </c>
      <c r="K56" s="89">
        <v>0</v>
      </c>
      <c r="L56" s="89">
        <v>0</v>
      </c>
      <c r="M56" s="89">
        <v>0</v>
      </c>
      <c r="N56" s="89">
        <v>0</v>
      </c>
      <c r="O56" s="452">
        <v>0</v>
      </c>
      <c r="P56" s="427">
        <v>0</v>
      </c>
      <c r="Q56" s="427">
        <v>0</v>
      </c>
      <c r="R56" s="427">
        <v>0</v>
      </c>
      <c r="S56" s="427">
        <v>0</v>
      </c>
      <c r="T56" s="453">
        <v>0</v>
      </c>
      <c r="U56" s="443">
        <v>0</v>
      </c>
      <c r="V56" s="428">
        <v>0</v>
      </c>
      <c r="W56" s="428">
        <v>0</v>
      </c>
      <c r="X56" s="428">
        <v>0</v>
      </c>
      <c r="Y56" s="428">
        <v>0</v>
      </c>
      <c r="Z56" s="471">
        <v>0</v>
      </c>
      <c r="AA56" s="479">
        <v>0</v>
      </c>
      <c r="AB56" s="429">
        <v>0</v>
      </c>
      <c r="AC56" s="429">
        <v>0</v>
      </c>
      <c r="AD56" s="429">
        <v>0</v>
      </c>
      <c r="AE56" s="429">
        <v>0</v>
      </c>
      <c r="AF56" s="480">
        <v>0</v>
      </c>
      <c r="AG56" s="24"/>
    </row>
    <row r="57" ht="12.75">
      <c r="B57" s="523" t="s">
        <v>121</v>
      </c>
    </row>
    <row r="58" ht="12.75">
      <c r="B58" s="524" t="s">
        <v>122</v>
      </c>
    </row>
    <row r="59" spans="1:33" ht="12.75">
      <c r="A59" s="576"/>
      <c r="B59" s="577"/>
      <c r="C59" s="578"/>
      <c r="D59" s="578"/>
      <c r="E59" s="578"/>
      <c r="F59" s="578"/>
      <c r="G59" s="578"/>
      <c r="H59" s="578"/>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9"/>
    </row>
    <row r="60" spans="1:8" ht="12.75">
      <c r="A60" s="430" t="s">
        <v>153</v>
      </c>
      <c r="B60" s="522"/>
      <c r="C60" s="29"/>
      <c r="D60" s="29"/>
      <c r="E60" s="29"/>
      <c r="F60" s="29"/>
      <c r="G60" s="29"/>
      <c r="H60" s="29"/>
    </row>
    <row r="61" spans="1:2" ht="12.75">
      <c r="A61" s="430" t="s">
        <v>142</v>
      </c>
      <c r="B61" s="523" t="s">
        <v>121</v>
      </c>
    </row>
    <row r="62" spans="1:2" ht="12.75">
      <c r="A62" s="430" t="s">
        <v>143</v>
      </c>
      <c r="B62" s="524" t="s">
        <v>122</v>
      </c>
    </row>
    <row r="63" spans="1:2" ht="12.75">
      <c r="A63" s="697" t="s">
        <v>144</v>
      </c>
      <c r="B63" s="523" t="s">
        <v>123</v>
      </c>
    </row>
    <row r="64" spans="1:2" ht="12.75">
      <c r="A64" s="430" t="s">
        <v>145</v>
      </c>
      <c r="B64" s="523" t="s">
        <v>124</v>
      </c>
    </row>
    <row r="65" spans="1:2" ht="12.75">
      <c r="A65" s="430" t="s">
        <v>146</v>
      </c>
      <c r="B65" s="523" t="s">
        <v>125</v>
      </c>
    </row>
    <row r="66" spans="1:2" ht="12.75">
      <c r="A66" s="697" t="s">
        <v>147</v>
      </c>
      <c r="B66" s="523" t="s">
        <v>126</v>
      </c>
    </row>
    <row r="67" spans="1:2" ht="12.75">
      <c r="A67" s="430"/>
      <c r="B67" s="523" t="s">
        <v>127</v>
      </c>
    </row>
    <row r="68" spans="1:2" ht="12.75">
      <c r="A68" s="430" t="s">
        <v>148</v>
      </c>
      <c r="B68" s="523" t="s">
        <v>128</v>
      </c>
    </row>
    <row r="69" spans="1:2" ht="12.75">
      <c r="A69" s="697" t="s">
        <v>149</v>
      </c>
      <c r="B69" s="525" t="s">
        <v>129</v>
      </c>
    </row>
    <row r="70" spans="1:2" ht="12.75">
      <c r="A70" s="430" t="s">
        <v>150</v>
      </c>
      <c r="B70" s="523" t="s">
        <v>130</v>
      </c>
    </row>
    <row r="71" spans="1:2" ht="12.75">
      <c r="A71" s="430" t="s">
        <v>151</v>
      </c>
      <c r="B71" s="523" t="s">
        <v>131</v>
      </c>
    </row>
    <row r="72" spans="1:2" ht="12.75">
      <c r="A72" s="430" t="s">
        <v>152</v>
      </c>
      <c r="B72" s="523" t="s">
        <v>132</v>
      </c>
    </row>
    <row r="73" ht="12.75">
      <c r="B73" s="522"/>
    </row>
    <row r="74" ht="12.75"/>
    <row r="75" ht="12.75"/>
    <row r="76" spans="2:3" ht="12.75">
      <c r="B76" s="522" t="s">
        <v>161</v>
      </c>
      <c r="C76" s="7">
        <v>0.01</v>
      </c>
    </row>
    <row r="77" spans="2:3" ht="12.75">
      <c r="B77" s="522" t="s">
        <v>160</v>
      </c>
      <c r="C77" s="699">
        <f>C29/C54/1000</f>
        <v>0.017800675675675677</v>
      </c>
    </row>
    <row r="78" spans="2:20" ht="12.75">
      <c r="B78" s="522" t="s">
        <v>162</v>
      </c>
      <c r="C78" s="699">
        <f>C77*28/44</f>
        <v>0.011327702702702704</v>
      </c>
      <c r="O78" s="15"/>
      <c r="P78" s="15"/>
      <c r="Q78" s="15"/>
      <c r="R78" s="15"/>
      <c r="S78" s="15"/>
      <c r="T78" s="15"/>
    </row>
    <row r="79" spans="15:20" ht="12.75">
      <c r="O79" s="15"/>
      <c r="P79" s="15"/>
      <c r="Q79" s="15"/>
      <c r="R79" s="15"/>
      <c r="S79" s="15"/>
      <c r="T79" s="15"/>
    </row>
    <row r="80" spans="2:27" ht="12.75">
      <c r="B80" s="7" t="s">
        <v>166</v>
      </c>
      <c r="C80" s="709">
        <f>C53/109.3</f>
        <v>0.00021591948764867339</v>
      </c>
      <c r="D80" s="709"/>
      <c r="E80" s="709"/>
      <c r="F80" s="709"/>
      <c r="G80" s="709"/>
      <c r="H80" s="709"/>
      <c r="I80" s="699">
        <f>I53/119.2</f>
        <v>9.815436241610739E-05</v>
      </c>
      <c r="O80" s="699">
        <f>O53/51.7</f>
        <v>0.00027079303675048354</v>
      </c>
      <c r="P80" s="15"/>
      <c r="Q80" s="15"/>
      <c r="R80" s="15"/>
      <c r="S80" s="15"/>
      <c r="T80" s="15"/>
      <c r="U80" s="699">
        <f>U53/137.4</f>
        <v>0.00030494905385735076</v>
      </c>
      <c r="AA80" s="699">
        <f>AA53/137.4</f>
        <v>0.00030494905385735076</v>
      </c>
    </row>
    <row r="81" spans="15:20" ht="12.75">
      <c r="O81" s="15"/>
      <c r="P81" s="15"/>
      <c r="Q81" s="15"/>
      <c r="R81" s="15"/>
      <c r="S81" s="15"/>
      <c r="T81" s="15"/>
    </row>
    <row r="82" spans="2:32" ht="12.75">
      <c r="B82" s="517"/>
      <c r="C82" s="705"/>
      <c r="D82" s="705"/>
      <c r="E82" s="705"/>
      <c r="F82" s="705"/>
      <c r="G82" s="705"/>
      <c r="H82" s="705"/>
      <c r="I82" s="705"/>
      <c r="J82" s="705"/>
      <c r="K82" s="705"/>
      <c r="L82" s="705"/>
      <c r="M82" s="705"/>
      <c r="N82" s="705"/>
      <c r="O82" s="705"/>
      <c r="P82" s="705"/>
      <c r="Q82" s="705"/>
      <c r="R82" s="705"/>
      <c r="S82" s="705"/>
      <c r="T82" s="705"/>
      <c r="U82" s="705"/>
      <c r="V82" s="705"/>
      <c r="W82" s="705"/>
      <c r="X82" s="705"/>
      <c r="Y82" s="705"/>
      <c r="Z82" s="705"/>
      <c r="AA82" s="705"/>
      <c r="AB82" s="705"/>
      <c r="AC82" s="705"/>
      <c r="AD82" s="705"/>
      <c r="AE82" s="705"/>
      <c r="AF82" s="705"/>
    </row>
    <row r="83" spans="15:20" ht="12.75">
      <c r="O83" s="16"/>
      <c r="P83" s="16"/>
      <c r="Q83" s="16"/>
      <c r="R83" s="16"/>
      <c r="S83" s="16"/>
      <c r="T83" s="16"/>
    </row>
    <row r="84" spans="15:20" ht="12.75">
      <c r="O84" s="17"/>
      <c r="P84" s="17"/>
      <c r="Q84" s="17"/>
      <c r="R84" s="17"/>
      <c r="S84" s="17"/>
      <c r="T84" s="17"/>
    </row>
  </sheetData>
  <sheetProtection/>
  <mergeCells count="13">
    <mergeCell ref="B6:B8"/>
    <mergeCell ref="AG6:AG8"/>
    <mergeCell ref="P7:T7"/>
    <mergeCell ref="V7:Z7"/>
    <mergeCell ref="O6:T6"/>
    <mergeCell ref="U6:Z6"/>
    <mergeCell ref="A1:AG1"/>
    <mergeCell ref="D7:H7"/>
    <mergeCell ref="C6:H6"/>
    <mergeCell ref="J7:N7"/>
    <mergeCell ref="I6:N6"/>
    <mergeCell ref="AB7:AF7"/>
    <mergeCell ref="AA6:AF6"/>
  </mergeCells>
  <printOptions/>
  <pageMargins left="0.787401575" right="0.787401575" top="0.984251969" bottom="0.984251969" header="0.5" footer="0.5"/>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stagiaire</dc:creator>
  <cp:keywords/>
  <dc:description/>
  <cp:lastModifiedBy>matthpr</cp:lastModifiedBy>
  <cp:lastPrinted>2010-04-27T06:23:00Z</cp:lastPrinted>
  <dcterms:created xsi:type="dcterms:W3CDTF">2009-07-07T14:18:53Z</dcterms:created>
  <dcterms:modified xsi:type="dcterms:W3CDTF">2010-08-06T14:13:41Z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DF_LAST_URL">
    <vt:lpwstr>Onwaar</vt:lpwstr>
  </property>
</Properties>
</file>