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30" yWindow="135" windowWidth="13020" windowHeight="11760" activeTab="3"/>
  </bookViews>
  <sheets>
    <sheet name="Sunflower" sheetId="1" r:id="rId1"/>
    <sheet name="Rapeseed" sheetId="2" r:id="rId2"/>
    <sheet name="Soy" sheetId="3" r:id="rId3"/>
    <sheet name="Final REPORT" sheetId="7" r:id="rId4"/>
  </sheets>
  <calcPr calcId="145621"/>
</workbook>
</file>

<file path=xl/calcChain.xml><?xml version="1.0" encoding="utf-8"?>
<calcChain xmlns="http://schemas.openxmlformats.org/spreadsheetml/2006/main">
  <c r="L48" i="3" l="1"/>
  <c r="C49" i="3" s="1"/>
  <c r="Q70" i="1"/>
  <c r="Q87" i="2"/>
  <c r="C89" i="2" s="1"/>
  <c r="J81" i="2"/>
  <c r="I81" i="2"/>
  <c r="H81" i="2"/>
  <c r="F81" i="2"/>
  <c r="E81" i="2"/>
  <c r="D81" i="2"/>
  <c r="J80" i="2"/>
  <c r="I80" i="2"/>
  <c r="H80" i="2"/>
  <c r="F80" i="2"/>
  <c r="E80" i="2"/>
  <c r="D80" i="2"/>
  <c r="J79" i="2"/>
  <c r="I79" i="2"/>
  <c r="H79" i="2"/>
  <c r="F79" i="2"/>
  <c r="E79" i="2"/>
  <c r="D79" i="2"/>
  <c r="J78" i="2"/>
  <c r="I78" i="2"/>
  <c r="H78" i="2"/>
  <c r="F78" i="2"/>
  <c r="E78" i="2"/>
  <c r="D78" i="2"/>
  <c r="J77" i="2"/>
  <c r="I77" i="2"/>
  <c r="H77" i="2"/>
  <c r="F77" i="2"/>
  <c r="E77" i="2"/>
  <c r="D77" i="2"/>
  <c r="J76" i="2"/>
  <c r="I76" i="2"/>
  <c r="H76" i="2"/>
  <c r="F76" i="2"/>
  <c r="E76" i="2"/>
  <c r="D76" i="2"/>
  <c r="J75" i="2"/>
  <c r="I75" i="2"/>
  <c r="H75" i="2"/>
  <c r="F75" i="2"/>
  <c r="E75" i="2"/>
  <c r="D75" i="2"/>
  <c r="J74" i="2"/>
  <c r="I74" i="2"/>
  <c r="H74" i="2"/>
  <c r="F74" i="2"/>
  <c r="E74" i="2"/>
  <c r="D74" i="2"/>
  <c r="J73" i="2"/>
  <c r="I73" i="2"/>
  <c r="H73" i="2"/>
  <c r="F73" i="2"/>
  <c r="E73" i="2"/>
  <c r="D73" i="2"/>
  <c r="J72" i="2"/>
  <c r="F72" i="2"/>
  <c r="E72" i="2"/>
  <c r="D72" i="2"/>
  <c r="D71" i="2"/>
  <c r="J71" i="2"/>
  <c r="F71" i="2"/>
  <c r="E71" i="2"/>
  <c r="J70" i="2"/>
  <c r="F70" i="2"/>
  <c r="E70" i="2"/>
  <c r="D70" i="2"/>
  <c r="J69" i="2"/>
  <c r="H69" i="2"/>
  <c r="F69" i="2"/>
  <c r="E69" i="2"/>
  <c r="D69" i="2"/>
  <c r="J68" i="2"/>
  <c r="E68" i="2"/>
  <c r="D68" i="2"/>
  <c r="J41" i="3"/>
  <c r="F41" i="3"/>
  <c r="E41" i="3"/>
  <c r="D41" i="3"/>
  <c r="J63" i="1"/>
  <c r="I63" i="1"/>
  <c r="F63" i="1"/>
  <c r="E63" i="1"/>
  <c r="D63" i="1"/>
  <c r="J62" i="1"/>
  <c r="I62" i="1"/>
  <c r="F62" i="1"/>
  <c r="E62" i="1"/>
  <c r="D62" i="1"/>
  <c r="F61" i="1"/>
  <c r="F57" i="1" s="1"/>
  <c r="I61" i="1"/>
  <c r="D61" i="1"/>
  <c r="F60" i="1"/>
  <c r="E60" i="1"/>
  <c r="D60" i="1"/>
  <c r="J59" i="1"/>
  <c r="F59" i="1"/>
  <c r="E59" i="1"/>
  <c r="D59" i="1"/>
  <c r="E58" i="1"/>
  <c r="D58" i="1"/>
  <c r="F56" i="1"/>
  <c r="J56" i="1"/>
  <c r="E56" i="1"/>
  <c r="D56" i="1"/>
  <c r="L42" i="2"/>
  <c r="I42" i="2"/>
  <c r="L61" i="2"/>
  <c r="I61" i="2"/>
  <c r="L16" i="2"/>
  <c r="I16" i="2"/>
  <c r="L32" i="2"/>
  <c r="I32" i="2"/>
  <c r="L23" i="1"/>
  <c r="L22" i="1"/>
  <c r="H23" i="1"/>
  <c r="H22" i="1"/>
  <c r="J23" i="1"/>
  <c r="I23" i="1"/>
  <c r="J22" i="1"/>
  <c r="I22" i="1"/>
  <c r="L31" i="1"/>
  <c r="J31" i="1"/>
  <c r="I31" i="1"/>
  <c r="L21" i="1"/>
  <c r="I21" i="1"/>
  <c r="L20" i="1"/>
  <c r="J20" i="1"/>
  <c r="I20" i="1"/>
  <c r="L22" i="2"/>
  <c r="I22" i="2"/>
  <c r="L21" i="2"/>
  <c r="I21" i="2"/>
  <c r="L20" i="2"/>
  <c r="I20" i="2"/>
  <c r="L19" i="2"/>
  <c r="I19" i="2"/>
  <c r="L18" i="2"/>
  <c r="I18" i="2"/>
  <c r="L62" i="2"/>
  <c r="K81" i="2" s="1"/>
  <c r="I62" i="2"/>
  <c r="G81" i="2" s="1"/>
  <c r="L60" i="2"/>
  <c r="K80" i="2" s="1"/>
  <c r="I60" i="2"/>
  <c r="L59" i="2"/>
  <c r="K79" i="2" s="1"/>
  <c r="I59" i="2"/>
  <c r="G79" i="2" s="1"/>
  <c r="L58" i="2"/>
  <c r="I58" i="2"/>
  <c r="L57" i="2"/>
  <c r="K78" i="2" s="1"/>
  <c r="I57" i="2"/>
  <c r="G78" i="2" s="1"/>
  <c r="L56" i="2"/>
  <c r="K77" i="2" s="1"/>
  <c r="I56" i="2"/>
  <c r="G77" i="2" s="1"/>
  <c r="L55" i="2"/>
  <c r="I55" i="2"/>
  <c r="L54" i="2"/>
  <c r="K76" i="2" s="1"/>
  <c r="I54" i="2"/>
  <c r="G76" i="2" s="1"/>
  <c r="L52" i="2"/>
  <c r="I52" i="2"/>
  <c r="L51" i="2"/>
  <c r="I51" i="2"/>
  <c r="L50" i="2"/>
  <c r="I50" i="2"/>
  <c r="L49" i="2"/>
  <c r="I49" i="2"/>
  <c r="L48" i="2"/>
  <c r="I48" i="2"/>
  <c r="L47" i="2"/>
  <c r="I47" i="2"/>
  <c r="L46" i="2"/>
  <c r="I46" i="2"/>
  <c r="L45" i="2"/>
  <c r="I45" i="2"/>
  <c r="L44" i="2"/>
  <c r="I44" i="2"/>
  <c r="L43" i="2"/>
  <c r="K74" i="2" s="1"/>
  <c r="I43" i="2"/>
  <c r="G74" i="2" s="1"/>
  <c r="L41" i="2"/>
  <c r="I41" i="2"/>
  <c r="L40" i="2"/>
  <c r="I40" i="2"/>
  <c r="L39" i="2"/>
  <c r="I39" i="2"/>
  <c r="L38" i="2"/>
  <c r="I38" i="2"/>
  <c r="L37" i="2"/>
  <c r="I37" i="2"/>
  <c r="L36" i="2"/>
  <c r="I36" i="2"/>
  <c r="L35" i="2"/>
  <c r="I35" i="2"/>
  <c r="L34" i="2"/>
  <c r="I34" i="2"/>
  <c r="I33" i="2"/>
  <c r="G73" i="2" s="1"/>
  <c r="L33" i="2"/>
  <c r="L25" i="2"/>
  <c r="I25" i="2"/>
  <c r="L15" i="2"/>
  <c r="I15" i="2"/>
  <c r="L14" i="2"/>
  <c r="I14" i="2"/>
  <c r="L13" i="2"/>
  <c r="I13" i="2"/>
  <c r="L12" i="2"/>
  <c r="I12" i="2"/>
  <c r="L11" i="2"/>
  <c r="I11" i="2"/>
  <c r="L10" i="2"/>
  <c r="I10" i="2"/>
  <c r="L31" i="2"/>
  <c r="I31" i="2"/>
  <c r="L30" i="2"/>
  <c r="I30" i="2"/>
  <c r="L29" i="2"/>
  <c r="I29" i="2"/>
  <c r="L28" i="2"/>
  <c r="I28" i="2"/>
  <c r="L27" i="2"/>
  <c r="I27" i="2"/>
  <c r="L27" i="1"/>
  <c r="J27" i="1"/>
  <c r="I27" i="1"/>
  <c r="I28" i="1"/>
  <c r="L28" i="1"/>
  <c r="L19" i="1"/>
  <c r="J19" i="1"/>
  <c r="I19" i="1"/>
  <c r="L18" i="1"/>
  <c r="J18" i="1"/>
  <c r="I18" i="1"/>
  <c r="L17" i="1"/>
  <c r="J17" i="1"/>
  <c r="I17" i="1"/>
  <c r="L49" i="1"/>
  <c r="K63" i="1" s="1"/>
  <c r="J49" i="1"/>
  <c r="H63" i="1" s="1"/>
  <c r="I49" i="1"/>
  <c r="G63" i="1" s="1"/>
  <c r="L48" i="1"/>
  <c r="K62" i="1" s="1"/>
  <c r="J48" i="1"/>
  <c r="H62" i="1" s="1"/>
  <c r="I48" i="1"/>
  <c r="G62" i="1" s="1"/>
  <c r="I42" i="1"/>
  <c r="J42" i="1"/>
  <c r="K42" i="1"/>
  <c r="L42" i="1"/>
  <c r="I41" i="1"/>
  <c r="J41" i="1"/>
  <c r="K41" i="1"/>
  <c r="L41" i="1"/>
  <c r="I40" i="1"/>
  <c r="J40" i="1"/>
  <c r="K40" i="1"/>
  <c r="L40" i="1"/>
  <c r="L39" i="1"/>
  <c r="K39" i="1"/>
  <c r="J39" i="1"/>
  <c r="I39" i="1"/>
  <c r="L30" i="1"/>
  <c r="J30" i="1"/>
  <c r="I30" i="1"/>
  <c r="I47" i="1"/>
  <c r="G61" i="1" s="1"/>
  <c r="J47" i="1"/>
  <c r="H61" i="1" s="1"/>
  <c r="L47" i="1"/>
  <c r="K61" i="1" s="1"/>
  <c r="J46" i="1"/>
  <c r="I46" i="1"/>
  <c r="L46" i="1"/>
  <c r="J45" i="1"/>
  <c r="I45" i="1"/>
  <c r="L45" i="1"/>
  <c r="L44" i="1"/>
  <c r="I44" i="1"/>
  <c r="J44" i="1"/>
  <c r="L43" i="1"/>
  <c r="J43" i="1"/>
  <c r="I43" i="1"/>
  <c r="L53" i="2"/>
  <c r="I53" i="2"/>
  <c r="M30" i="3"/>
  <c r="K41" i="3" s="1"/>
  <c r="L30" i="3"/>
  <c r="I41" i="3" s="1"/>
  <c r="K30" i="3"/>
  <c r="H41" i="3" s="1"/>
  <c r="J30" i="3"/>
  <c r="G41" i="3" s="1"/>
  <c r="H38" i="1"/>
  <c r="L38" i="1"/>
  <c r="J38" i="1"/>
  <c r="I38" i="1"/>
  <c r="H37" i="1"/>
  <c r="L37" i="1"/>
  <c r="K37" i="1"/>
  <c r="J37" i="1"/>
  <c r="I37" i="1"/>
  <c r="G35" i="1"/>
  <c r="G36" i="1"/>
  <c r="L36" i="1"/>
  <c r="J36" i="1"/>
  <c r="I36" i="1"/>
  <c r="I35" i="1"/>
  <c r="L35" i="1"/>
  <c r="N37" i="3"/>
  <c r="J40" i="3"/>
  <c r="F40" i="3"/>
  <c r="E40" i="3"/>
  <c r="D40" i="3"/>
  <c r="M29" i="3"/>
  <c r="K29" i="3"/>
  <c r="J29" i="3"/>
  <c r="J39" i="3"/>
  <c r="F39" i="3"/>
  <c r="E39" i="3"/>
  <c r="D39" i="3"/>
  <c r="C74" i="1" l="1"/>
  <c r="C72" i="1"/>
  <c r="C50" i="3"/>
  <c r="C51" i="3"/>
  <c r="C53" i="3"/>
  <c r="C52" i="3"/>
  <c r="G72" i="2"/>
  <c r="G80" i="2"/>
  <c r="C98" i="2"/>
  <c r="C90" i="2"/>
  <c r="C99" i="2"/>
  <c r="C91" i="2"/>
  <c r="C100" i="2"/>
  <c r="C92" i="2"/>
  <c r="K72" i="2"/>
  <c r="C101" i="2"/>
  <c r="C93" i="2"/>
  <c r="C88" i="2"/>
  <c r="C94" i="2"/>
  <c r="C95" i="2"/>
  <c r="C96" i="2"/>
  <c r="C97" i="2"/>
  <c r="C75" i="1"/>
  <c r="C76" i="1"/>
  <c r="C77" i="1"/>
  <c r="C78" i="1"/>
  <c r="C71" i="1"/>
  <c r="C73" i="1"/>
  <c r="K73" i="2"/>
  <c r="G75" i="2"/>
  <c r="K75" i="2"/>
  <c r="I60" i="1"/>
  <c r="J38" i="3"/>
  <c r="E38" i="3"/>
  <c r="F38" i="3"/>
  <c r="D38" i="3"/>
  <c r="L24" i="2"/>
  <c r="I24" i="2"/>
  <c r="L26" i="1"/>
  <c r="I26" i="1"/>
  <c r="M28" i="3"/>
  <c r="K28" i="3"/>
  <c r="M27" i="3"/>
  <c r="L27" i="3"/>
  <c r="I40" i="3" s="1"/>
  <c r="K27" i="3"/>
  <c r="J27" i="3"/>
  <c r="G40" i="3" s="1"/>
  <c r="M24" i="3"/>
  <c r="K24" i="3"/>
  <c r="L16" i="1"/>
  <c r="K16" i="1"/>
  <c r="J16" i="1"/>
  <c r="I16" i="1"/>
  <c r="G16" i="1"/>
  <c r="L15" i="1"/>
  <c r="K15" i="1"/>
  <c r="J15" i="1"/>
  <c r="I15" i="1"/>
  <c r="G14" i="1"/>
  <c r="L14" i="1"/>
  <c r="K14" i="1"/>
  <c r="J14" i="1"/>
  <c r="I14" i="1"/>
  <c r="L34" i="1"/>
  <c r="J34" i="1"/>
  <c r="J33" i="1"/>
  <c r="L33" i="1"/>
  <c r="I34" i="1"/>
  <c r="I33" i="1"/>
  <c r="L32" i="1"/>
  <c r="J32" i="1"/>
  <c r="I32" i="1"/>
  <c r="I59" i="1"/>
  <c r="I23" i="2"/>
  <c r="L23" i="2"/>
  <c r="L25" i="1"/>
  <c r="J25" i="1"/>
  <c r="I25" i="1"/>
  <c r="J4" i="1"/>
  <c r="I4" i="1"/>
  <c r="H4" i="1"/>
  <c r="G4" i="1"/>
  <c r="H13" i="1"/>
  <c r="H12" i="1"/>
  <c r="H10" i="1"/>
  <c r="H8" i="2"/>
  <c r="F68" i="2" s="1"/>
  <c r="H5" i="2"/>
  <c r="I38" i="3"/>
  <c r="L21" i="3"/>
  <c r="K70" i="2" l="1"/>
  <c r="G70" i="2"/>
  <c r="J58" i="1"/>
  <c r="K60" i="1"/>
  <c r="H60" i="1"/>
  <c r="G60" i="1"/>
  <c r="F58" i="1"/>
  <c r="K40" i="3"/>
  <c r="H40" i="3"/>
  <c r="I13" i="3"/>
  <c r="F36" i="3" s="1"/>
  <c r="E36" i="3"/>
  <c r="J36" i="3"/>
  <c r="D36" i="3"/>
  <c r="M25" i="3"/>
  <c r="K38" i="3" s="1"/>
  <c r="M23" i="3"/>
  <c r="M22" i="3"/>
  <c r="M21" i="3"/>
  <c r="M20" i="3"/>
  <c r="M19" i="3"/>
  <c r="M18" i="3"/>
  <c r="M17" i="3"/>
  <c r="M15" i="3"/>
  <c r="M16" i="3"/>
  <c r="M14" i="3"/>
  <c r="M13" i="3"/>
  <c r="M12" i="3"/>
  <c r="M9" i="3"/>
  <c r="M10" i="3"/>
  <c r="M11" i="3"/>
  <c r="M8" i="3"/>
  <c r="M7" i="3"/>
  <c r="M6" i="3"/>
  <c r="M5" i="3"/>
  <c r="M4" i="3"/>
  <c r="M3" i="3"/>
  <c r="L17" i="2"/>
  <c r="K69" i="2" s="1"/>
  <c r="L9" i="2"/>
  <c r="L26" i="2"/>
  <c r="K71" i="2" s="1"/>
  <c r="L8" i="2"/>
  <c r="L7" i="2"/>
  <c r="L6" i="2"/>
  <c r="L5" i="2"/>
  <c r="L4" i="2"/>
  <c r="L3" i="2"/>
  <c r="L24" i="1"/>
  <c r="K56" i="1" s="1"/>
  <c r="L13" i="1"/>
  <c r="L29" i="1"/>
  <c r="K59" i="1" s="1"/>
  <c r="L12" i="1"/>
  <c r="L11" i="1"/>
  <c r="L10" i="1"/>
  <c r="L9" i="1"/>
  <c r="L8" i="1"/>
  <c r="L7" i="1"/>
  <c r="L6" i="1"/>
  <c r="L5" i="1"/>
  <c r="L3" i="1"/>
  <c r="K25" i="3"/>
  <c r="H38" i="3" s="1"/>
  <c r="J25" i="3"/>
  <c r="G38" i="3" s="1"/>
  <c r="K23" i="3"/>
  <c r="J23" i="3"/>
  <c r="L22" i="3"/>
  <c r="K22" i="3"/>
  <c r="J22" i="3"/>
  <c r="K21" i="3"/>
  <c r="J21" i="3"/>
  <c r="K20" i="3"/>
  <c r="J20" i="3"/>
  <c r="K19" i="3"/>
  <c r="L17" i="3"/>
  <c r="K17" i="3"/>
  <c r="J17" i="3"/>
  <c r="K16" i="3"/>
  <c r="L16" i="3"/>
  <c r="L15" i="3"/>
  <c r="K15" i="3"/>
  <c r="L14" i="3"/>
  <c r="K14" i="3"/>
  <c r="L3" i="3"/>
  <c r="K3" i="3"/>
  <c r="J3" i="3"/>
  <c r="I17" i="2"/>
  <c r="G69" i="2" s="1"/>
  <c r="K9" i="2"/>
  <c r="I68" i="2" s="1"/>
  <c r="J9" i="2"/>
  <c r="I9" i="2"/>
  <c r="J26" i="2"/>
  <c r="H71" i="2" s="1"/>
  <c r="I26" i="2"/>
  <c r="G71" i="2" s="1"/>
  <c r="J8" i="2"/>
  <c r="I8" i="2"/>
  <c r="I7" i="2"/>
  <c r="J6" i="2"/>
  <c r="I6" i="2"/>
  <c r="J4" i="2"/>
  <c r="I4" i="2"/>
  <c r="I3" i="2"/>
  <c r="J24" i="1"/>
  <c r="H56" i="1" s="1"/>
  <c r="I24" i="1"/>
  <c r="G56" i="1" s="1"/>
  <c r="K13" i="1"/>
  <c r="J13" i="1"/>
  <c r="I13" i="1"/>
  <c r="J29" i="1"/>
  <c r="H59" i="1" s="1"/>
  <c r="I29" i="1"/>
  <c r="G59" i="1" s="1"/>
  <c r="K12" i="1"/>
  <c r="J12" i="1"/>
  <c r="I12" i="1"/>
  <c r="K11" i="1"/>
  <c r="J11" i="1"/>
  <c r="I11" i="1"/>
  <c r="K10" i="1"/>
  <c r="J10" i="1"/>
  <c r="I10" i="1"/>
  <c r="J9" i="1"/>
  <c r="I9" i="1"/>
  <c r="J7" i="1"/>
  <c r="I7" i="1"/>
  <c r="J6" i="1"/>
  <c r="I5" i="1"/>
  <c r="I6" i="1"/>
  <c r="K5" i="1"/>
  <c r="J5" i="1"/>
  <c r="K3" i="1"/>
  <c r="J3" i="1"/>
  <c r="I3" i="1"/>
  <c r="Q36" i="3"/>
  <c r="Q37" i="3" s="1"/>
  <c r="M8" i="1"/>
  <c r="N70" i="2"/>
  <c r="N71" i="2" s="1"/>
  <c r="N67" i="2"/>
  <c r="G68" i="2" l="1"/>
  <c r="H68" i="2"/>
  <c r="K68" i="2"/>
  <c r="G58" i="1"/>
  <c r="I58" i="1"/>
  <c r="K58" i="1"/>
  <c r="H58" i="1"/>
  <c r="G39" i="3"/>
  <c r="H39" i="3"/>
  <c r="K39" i="3"/>
  <c r="I39" i="3"/>
  <c r="K36" i="3"/>
  <c r="I8" i="1"/>
  <c r="J8" i="1"/>
</calcChain>
</file>

<file path=xl/sharedStrings.xml><?xml version="1.0" encoding="utf-8"?>
<sst xmlns="http://schemas.openxmlformats.org/spreadsheetml/2006/main" count="2298" uniqueCount="499">
  <si>
    <t>NUTS 2</t>
  </si>
  <si>
    <t>Pisa</t>
  </si>
  <si>
    <t>Grosseto</t>
  </si>
  <si>
    <t>Livorno</t>
  </si>
  <si>
    <t>Grosseto e Livorno</t>
  </si>
  <si>
    <t>Ha di riferimento</t>
  </si>
  <si>
    <t>Firenze e Livorno</t>
  </si>
  <si>
    <t>TOSCANA</t>
  </si>
  <si>
    <t>UMBRIA</t>
  </si>
  <si>
    <t>Regione</t>
  </si>
  <si>
    <t>Riferimento PROVINCIA (NUTS 3) o regione</t>
  </si>
  <si>
    <t>Lucca</t>
  </si>
  <si>
    <t>Viterbo</t>
  </si>
  <si>
    <t>Firenze Siena Arezzo Pisa</t>
  </si>
  <si>
    <t>Pisa (Vecchiano)</t>
  </si>
  <si>
    <t>VENETO</t>
  </si>
  <si>
    <t>Pordenone</t>
  </si>
  <si>
    <t>?</t>
  </si>
  <si>
    <t>Udine</t>
  </si>
  <si>
    <t>Padova</t>
  </si>
  <si>
    <t>FRIULI</t>
  </si>
  <si>
    <t>Treviso</t>
  </si>
  <si>
    <t>Vicenza</t>
  </si>
  <si>
    <t>LOMBARDIA</t>
  </si>
  <si>
    <t>Mantova</t>
  </si>
  <si>
    <t>Verona e Vicenza</t>
  </si>
  <si>
    <t>Venezia (Eraclea)</t>
  </si>
  <si>
    <t>Venezia</t>
  </si>
  <si>
    <t>Udine, Gorizia, Pordenone, Trieste</t>
  </si>
  <si>
    <t>Verona</t>
  </si>
  <si>
    <t>Gorizia</t>
  </si>
  <si>
    <t>Dati per ettaro</t>
  </si>
  <si>
    <t>Nome</t>
  </si>
  <si>
    <t>pa</t>
  </si>
  <si>
    <t>no</t>
  </si>
  <si>
    <t>11:22:16,5</t>
  </si>
  <si>
    <t>Gliphosate 680 g/l</t>
  </si>
  <si>
    <t>DUAL GOLD</t>
  </si>
  <si>
    <t>Metolachlor 86,5%</t>
  </si>
  <si>
    <t>1,5 kg</t>
  </si>
  <si>
    <t>1 l</t>
  </si>
  <si>
    <t>1 litro</t>
  </si>
  <si>
    <t>11:22:16</t>
  </si>
  <si>
    <t>46:0:0</t>
  </si>
  <si>
    <t>Oxyfluorfen 480 g/l</t>
  </si>
  <si>
    <t>25:15:0</t>
  </si>
  <si>
    <t>GOAL 480</t>
  </si>
  <si>
    <t>Gliphosate 450 g/l</t>
  </si>
  <si>
    <t>1,5 l</t>
  </si>
  <si>
    <t>0,5 l</t>
  </si>
  <si>
    <t>18:46:0</t>
  </si>
  <si>
    <t>MANNIX</t>
  </si>
  <si>
    <t>ROUNDUP 450</t>
  </si>
  <si>
    <t>Oxyfluorfen 42,9%</t>
  </si>
  <si>
    <t>0,5 kg</t>
  </si>
  <si>
    <t>25:15:0 entec</t>
  </si>
  <si>
    <t>Aclonifen</t>
  </si>
  <si>
    <t>Goal</t>
  </si>
  <si>
    <t>Oxyfluorfen</t>
  </si>
  <si>
    <t>Challenge</t>
  </si>
  <si>
    <t>Aclonifen 49,6 %</t>
  </si>
  <si>
    <t>0,75 l</t>
  </si>
  <si>
    <t>1 U = 75000 u = 6 kg</t>
  </si>
  <si>
    <t>8:24:24</t>
  </si>
  <si>
    <t>GRIZLY</t>
  </si>
  <si>
    <t>Oxyfluorfen 41%</t>
  </si>
  <si>
    <t>0,25 l</t>
  </si>
  <si>
    <t>Aclonifen 49,6%</t>
  </si>
  <si>
    <t>34,5:16,5:0</t>
  </si>
  <si>
    <t>Galigan</t>
  </si>
  <si>
    <t>BEYOND</t>
  </si>
  <si>
    <t>Oxyfluorfen 50,5%</t>
  </si>
  <si>
    <t>Imazamox</t>
  </si>
  <si>
    <t>CLINIC</t>
  </si>
  <si>
    <t>Gliphosate 350 g/l</t>
  </si>
  <si>
    <t>4 l</t>
  </si>
  <si>
    <t>GOAL 480sc</t>
  </si>
  <si>
    <t>CYREN 7,5G</t>
  </si>
  <si>
    <t>Clorpirifos 7,5%</t>
  </si>
  <si>
    <t>20 kg</t>
  </si>
  <si>
    <t>15:15:15</t>
  </si>
  <si>
    <t>STOMP ACQUA</t>
  </si>
  <si>
    <t>Pendimetalin</t>
  </si>
  <si>
    <t>2,5  ?</t>
  </si>
  <si>
    <t>2 ?! In altern a</t>
  </si>
  <si>
    <t>11:25:0</t>
  </si>
  <si>
    <t>SIAFEN</t>
  </si>
  <si>
    <t>0,3 l</t>
  </si>
  <si>
    <t>PENTHIUM</t>
  </si>
  <si>
    <t>2 l</t>
  </si>
  <si>
    <t>FUEGO</t>
  </si>
  <si>
    <t>Oxyfluorfen 250 g/l</t>
  </si>
  <si>
    <t>Aclonifen 600 g/l</t>
  </si>
  <si>
    <t>1,25 l</t>
  </si>
  <si>
    <t>5:5:5</t>
  </si>
  <si>
    <t>21:0:0</t>
  </si>
  <si>
    <t>ROUNDUP MAX</t>
  </si>
  <si>
    <t>Gliphosate 680 gr/l</t>
  </si>
  <si>
    <t>SULTAN</t>
  </si>
  <si>
    <t>Metazaclor</t>
  </si>
  <si>
    <t>10:23:0</t>
  </si>
  <si>
    <t>27:0:0</t>
  </si>
  <si>
    <t>BUTISAN S</t>
  </si>
  <si>
    <t>Metazaclor 43,5%</t>
  </si>
  <si>
    <t>Metazaclor 44,3%</t>
  </si>
  <si>
    <t>0:50:0</t>
  </si>
  <si>
    <t>26,5:0:0</t>
  </si>
  <si>
    <t>Gliphosate 360 gr/l</t>
  </si>
  <si>
    <t>Metazaclor 500 g/l</t>
  </si>
  <si>
    <t>CYREN 7,5 G</t>
  </si>
  <si>
    <t>EpiK</t>
  </si>
  <si>
    <t>2,5 kg</t>
  </si>
  <si>
    <t>0:20:0</t>
  </si>
  <si>
    <t>0:35:0</t>
  </si>
  <si>
    <t>33,6:0:0</t>
  </si>
  <si>
    <t>2,25 l</t>
  </si>
  <si>
    <t>si</t>
  </si>
  <si>
    <t>8:9:18</t>
  </si>
  <si>
    <t>COMMAND</t>
  </si>
  <si>
    <t>Clomazone 30,74</t>
  </si>
  <si>
    <t>FEINZIN</t>
  </si>
  <si>
    <t>Metribuzin 35%</t>
  </si>
  <si>
    <t>0,3 kg</t>
  </si>
  <si>
    <t>AFALON</t>
  </si>
  <si>
    <t>Linuron 37,6%</t>
  </si>
  <si>
    <t>CORUM</t>
  </si>
  <si>
    <t>Imazamox 2%+Bentazone 43,2%</t>
  </si>
  <si>
    <t>1,9 l</t>
  </si>
  <si>
    <t>STRATOS</t>
  </si>
  <si>
    <t>Cycloxydim 21%</t>
  </si>
  <si>
    <t>DUALGOLD+AFALON</t>
  </si>
  <si>
    <t>1 l + 0,6 l</t>
  </si>
  <si>
    <t>TUAREG</t>
  </si>
  <si>
    <t>0,8 l</t>
  </si>
  <si>
    <t>HARMONY</t>
  </si>
  <si>
    <t>0,7 g (?)</t>
  </si>
  <si>
    <t>0:20:20</t>
  </si>
  <si>
    <t>Pendimethalin 38,72% 455 g/l</t>
  </si>
  <si>
    <t>DUAL</t>
  </si>
  <si>
    <t>Metolaclor 86,5% 960 g/l</t>
  </si>
  <si>
    <t>1,2 l</t>
  </si>
  <si>
    <t xml:space="preserve">Pendimetalin 365 g/l </t>
  </si>
  <si>
    <t>MOST MICRO</t>
  </si>
  <si>
    <t>S-Metholaclor 80,6%</t>
  </si>
  <si>
    <t>AGIL</t>
  </si>
  <si>
    <t>Mazamox 40 g/l</t>
  </si>
  <si>
    <t xml:space="preserve">S-Metholaclor </t>
  </si>
  <si>
    <t>Clonazone</t>
  </si>
  <si>
    <t>0,4 l</t>
  </si>
  <si>
    <t>SENCOR</t>
  </si>
  <si>
    <t>Metribuzin</t>
  </si>
  <si>
    <t>0,7 l</t>
  </si>
  <si>
    <t>Propaquizafop</t>
  </si>
  <si>
    <t>Propaquizafop 100 g/l</t>
  </si>
  <si>
    <t>Tifensulfuron</t>
  </si>
  <si>
    <t>5 gr</t>
  </si>
  <si>
    <t>FUSILADE</t>
  </si>
  <si>
    <t>0,95 l</t>
  </si>
  <si>
    <t>5 g</t>
  </si>
  <si>
    <t>Tifensulfuron Met 75%</t>
  </si>
  <si>
    <t>S-Metholaclor puro 960 g/l</t>
  </si>
  <si>
    <t>1,1 l</t>
  </si>
  <si>
    <t>Linuron puro 450 g/l</t>
  </si>
  <si>
    <t>0,63 l</t>
  </si>
  <si>
    <t>Imazamox 40 g/l</t>
  </si>
  <si>
    <t>0,83 l</t>
  </si>
  <si>
    <t>Tifensulfuron met gr 50</t>
  </si>
  <si>
    <t>8,2 g</t>
  </si>
  <si>
    <t>HARMONY 50 sx</t>
  </si>
  <si>
    <t>FUSILADE MAX</t>
  </si>
  <si>
    <t>Fluazifop-p-butile 125 g/l</t>
  </si>
  <si>
    <t>0,39 l</t>
  </si>
  <si>
    <t>BUSTER</t>
  </si>
  <si>
    <t>Exitiazox gr 10</t>
  </si>
  <si>
    <t>0,41 kg</t>
  </si>
  <si>
    <t>SARMITE 57 EW</t>
  </si>
  <si>
    <t>propargite pura 570 g/l</t>
  </si>
  <si>
    <t>STREAM SL</t>
  </si>
  <si>
    <t>Gliphosate 360 g/l</t>
  </si>
  <si>
    <t>3 l</t>
  </si>
  <si>
    <t>Imazamox 22,4 g/l+Bentazone 480 g/l</t>
  </si>
  <si>
    <t>DASH HC</t>
  </si>
  <si>
    <t>Metiloleato e Metpalmitato 345 g/l</t>
  </si>
  <si>
    <t>KCl (60%)</t>
  </si>
  <si>
    <t>Imazamox 3,7</t>
  </si>
  <si>
    <t>Tifensulfuron  75%</t>
  </si>
  <si>
    <t>1,75 l</t>
  </si>
  <si>
    <t>9 gr</t>
  </si>
  <si>
    <t>Imazamox 2 g+Bentazone 43,1 g</t>
  </si>
  <si>
    <t>STRATOS ULTRA</t>
  </si>
  <si>
    <t>Cicloxidim</t>
  </si>
  <si>
    <t>1l</t>
  </si>
  <si>
    <t>Metholaclor</t>
  </si>
  <si>
    <t>Bentazone</t>
  </si>
  <si>
    <t>BUTISAN E SULTAN</t>
  </si>
  <si>
    <t>Piretroidi</t>
  </si>
  <si>
    <t>Pendimetalin 31,7%</t>
  </si>
  <si>
    <t>CHALLENGE</t>
  </si>
  <si>
    <t>Aclonifen 49,6g</t>
  </si>
  <si>
    <t>POST(AGIL)</t>
  </si>
  <si>
    <t>Metalaclor</t>
  </si>
  <si>
    <t>Tifensulfuron met 50%</t>
  </si>
  <si>
    <t>Cycloxydim</t>
  </si>
  <si>
    <t>STOMP</t>
  </si>
  <si>
    <t>1 U = 1.500.000 semi</t>
  </si>
  <si>
    <t>kg</t>
  </si>
  <si>
    <t>4,5:700000=x:1000</t>
  </si>
  <si>
    <t>Glifene HP</t>
  </si>
  <si>
    <t>Acetamiprid 5%</t>
  </si>
  <si>
    <t>kcl</t>
  </si>
  <si>
    <t>PM</t>
  </si>
  <si>
    <t>k</t>
  </si>
  <si>
    <t>%K</t>
  </si>
  <si>
    <t>%KCl(60%)</t>
  </si>
  <si>
    <t>120 U</t>
  </si>
  <si>
    <t>LISTA E CONCENTRAZIONI</t>
  </si>
  <si>
    <t>679 g/kg</t>
  </si>
  <si>
    <t>960 g/l</t>
  </si>
  <si>
    <t>500 g/l</t>
  </si>
  <si>
    <t>Oxyfluorfen 42,9%w</t>
  </si>
  <si>
    <t>600 g/l</t>
  </si>
  <si>
    <t>480 g/l</t>
  </si>
  <si>
    <t>GRIZZLY</t>
  </si>
  <si>
    <t>Aclonifen 49,6%w</t>
  </si>
  <si>
    <t>Oxyfluorfen 41%w</t>
  </si>
  <si>
    <t>Clorpirifos 7,5%w</t>
  </si>
  <si>
    <t>Metolachlor 86,5%w</t>
  </si>
  <si>
    <t>Pendimetalin 31,7%w</t>
  </si>
  <si>
    <t>365 g/l</t>
  </si>
  <si>
    <t>100 g/l</t>
  </si>
  <si>
    <t>Propaquizafop 9,7%w</t>
  </si>
  <si>
    <t>Metazaclor 44,3%w</t>
  </si>
  <si>
    <t>Gliphosate 30,4%w</t>
  </si>
  <si>
    <t>360 gr/l</t>
  </si>
  <si>
    <t xml:space="preserve">Metazaclor 43,5%w </t>
  </si>
  <si>
    <t>Acetamiprid 5%w</t>
  </si>
  <si>
    <t>360 g/l</t>
  </si>
  <si>
    <t>Clomazone 30,74%w</t>
  </si>
  <si>
    <t>Metribuzin 35%w</t>
  </si>
  <si>
    <t>450 g/l</t>
  </si>
  <si>
    <t>22,4g/l 480g/l</t>
  </si>
  <si>
    <t>Imazamox 2%+Bentazone 43,1%</t>
  </si>
  <si>
    <t>200 g/l</t>
  </si>
  <si>
    <t>Exitiazox 10%w</t>
  </si>
  <si>
    <t xml:space="preserve">propargite pura 52,7%w </t>
  </si>
  <si>
    <t>570 g/l</t>
  </si>
  <si>
    <t>Metiloleato e Metpalmitato 37,5%w</t>
  </si>
  <si>
    <t>345 g/l</t>
  </si>
  <si>
    <t>t</t>
  </si>
  <si>
    <t>%</t>
  </si>
  <si>
    <t>MJ</t>
  </si>
  <si>
    <t>kgN</t>
  </si>
  <si>
    <t>kg P2O5</t>
  </si>
  <si>
    <t>kg K2O</t>
  </si>
  <si>
    <t>DEFAULT eec</t>
  </si>
  <si>
    <r>
      <t>(gCO</t>
    </r>
    <r>
      <rPr>
        <b/>
        <vertAlign val="subscript"/>
        <sz val="12"/>
        <color theme="1"/>
        <rFont val="Times New Roman"/>
        <family val="1"/>
      </rPr>
      <t>2eq</t>
    </r>
    <r>
      <rPr>
        <b/>
        <sz val="12"/>
        <color theme="1"/>
        <rFont val="Times New Roman"/>
        <family val="1"/>
      </rPr>
      <t>/MJ</t>
    </r>
    <r>
      <rPr>
        <b/>
        <vertAlign val="subscript"/>
        <sz val="12"/>
        <color theme="1"/>
        <rFont val="Times New Roman"/>
        <family val="1"/>
      </rPr>
      <t>FAME</t>
    </r>
    <r>
      <rPr>
        <b/>
        <sz val="12"/>
        <color theme="1"/>
        <rFont val="Times New Roman"/>
        <family val="1"/>
      </rPr>
      <t>)</t>
    </r>
  </si>
  <si>
    <t>10:34:0</t>
  </si>
  <si>
    <t>Dual Gold</t>
  </si>
  <si>
    <t>Goal 480</t>
  </si>
  <si>
    <t>Expresssun</t>
  </si>
  <si>
    <t>Express sun</t>
  </si>
  <si>
    <t>Tribenuronmetile</t>
  </si>
  <si>
    <t>50 g/ha</t>
  </si>
  <si>
    <t>Beyond</t>
  </si>
  <si>
    <t>800 g/ha</t>
  </si>
  <si>
    <t>Perugia e Terni</t>
  </si>
  <si>
    <t>Klartan 20 EW</t>
  </si>
  <si>
    <t>250 ml/ha</t>
  </si>
  <si>
    <t>Glifosate</t>
  </si>
  <si>
    <t>fluvalinate 240 g/l</t>
  </si>
  <si>
    <t>LAZIO</t>
  </si>
  <si>
    <t>FRIULI CORRETTO</t>
  </si>
  <si>
    <t xml:space="preserve">FRIULI </t>
  </si>
  <si>
    <t>(t)</t>
  </si>
  <si>
    <t>(%)</t>
  </si>
  <si>
    <t>(MJ)</t>
  </si>
  <si>
    <t>kg N</t>
  </si>
  <si>
    <r>
      <t>kg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</si>
  <si>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r>
      <t>kg 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</si>
  <si>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(kg a.i.)</t>
  </si>
  <si>
    <t>Yield</t>
  </si>
  <si>
    <t>Diesel</t>
  </si>
  <si>
    <t>Seeding material</t>
  </si>
  <si>
    <t>Pesticides</t>
  </si>
  <si>
    <t>SUNFLOWER</t>
  </si>
  <si>
    <t>RAPESEED</t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</si>
  <si>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-fertiliser 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</si>
  <si>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O-POTASSIO</t>
    </r>
  </si>
  <si>
    <t>N-fertilizer</t>
  </si>
  <si>
    <t>Moisture content</t>
  </si>
  <si>
    <t>SOYBEAN</t>
  </si>
  <si>
    <t>MARCHE</t>
  </si>
  <si>
    <t>Ancona</t>
  </si>
  <si>
    <t>Macerata</t>
  </si>
  <si>
    <t>2,5 l</t>
  </si>
  <si>
    <t>Assert</t>
  </si>
  <si>
    <t>Imazametabenz-methyl 19,2%</t>
  </si>
  <si>
    <t>PIRIGRAN</t>
  </si>
  <si>
    <t>10 kg</t>
  </si>
  <si>
    <t>Pendimetalin 455 g/l</t>
  </si>
  <si>
    <t>2,7 l</t>
  </si>
  <si>
    <t>Linuron flow</t>
  </si>
  <si>
    <t>FORCE</t>
  </si>
  <si>
    <t>Teflutrin 0,5%</t>
  </si>
  <si>
    <t>8,3 kg</t>
  </si>
  <si>
    <t>Firenze (Castelfiorentino)</t>
  </si>
  <si>
    <t>6:15:3</t>
  </si>
  <si>
    <t>26:0:0</t>
  </si>
  <si>
    <t>22:10:8</t>
  </si>
  <si>
    <t>Aclonifen 600g/l</t>
  </si>
  <si>
    <t>Firenze (San Casciano)</t>
  </si>
  <si>
    <t>20:10:10</t>
  </si>
  <si>
    <t>TAIFUN</t>
  </si>
  <si>
    <t>Rovigo (Fratta Polesine)</t>
  </si>
  <si>
    <t>1,7 l</t>
  </si>
  <si>
    <t>(IN REALTA' NE VENGONO UTILIZZATI SOLO 2 o 3 DI QUELLI ELENCATI)</t>
  </si>
  <si>
    <t>EMILIA ROMAGNA</t>
  </si>
  <si>
    <t>Ferrara (Volania)</t>
  </si>
  <si>
    <t xml:space="preserve"> 46:00:00</t>
  </si>
  <si>
    <t>GLIPHIT</t>
  </si>
  <si>
    <t>GLIFOSATE 360 G/LT</t>
  </si>
  <si>
    <t>IMAZOMOX 40 G/LT</t>
  </si>
  <si>
    <t>HARMONY 50</t>
  </si>
  <si>
    <t>TIFENSULFURON METILE 50%</t>
  </si>
  <si>
    <t>0.010</t>
  </si>
  <si>
    <t>BASAGRAN SG</t>
  </si>
  <si>
    <t>BENTAZONE 87 GR</t>
  </si>
  <si>
    <t>0.500</t>
  </si>
  <si>
    <t>CYCLOXYDIM 10.9 %</t>
  </si>
  <si>
    <t>Ferrara (Berra,Ro,…etc)</t>
  </si>
  <si>
    <t>Roundup 360</t>
  </si>
  <si>
    <t>3/5 lt/ha</t>
  </si>
  <si>
    <t>Dual gold</t>
  </si>
  <si>
    <t>S-metolachlor 960/gr/lt</t>
  </si>
  <si>
    <t>1/1,2 lt/ha</t>
  </si>
  <si>
    <t>Command 36 cs</t>
  </si>
  <si>
    <t>Clomazone 360 gr/lt</t>
  </si>
  <si>
    <t>0,4 lt/ha</t>
  </si>
  <si>
    <t>Sencor</t>
  </si>
  <si>
    <t>Metribuzin 35 gr</t>
  </si>
  <si>
    <t>0,2 kg/ha</t>
  </si>
  <si>
    <t>Tuareg</t>
  </si>
  <si>
    <t>Imazamox 40 gr/lt</t>
  </si>
  <si>
    <t>1 lt/ha</t>
  </si>
  <si>
    <t>Harmony 50 sx</t>
  </si>
  <si>
    <t>Trifensulfuron metile 50 g</t>
  </si>
  <si>
    <t>8 gr/ha</t>
  </si>
  <si>
    <t>Basagran SG</t>
  </si>
  <si>
    <t>Bentazone 87gr</t>
  </si>
  <si>
    <t>0,5-1 kg/ha</t>
  </si>
  <si>
    <t>Stratos ultra</t>
  </si>
  <si>
    <t>Cycloxidim 100 gr/lt</t>
  </si>
  <si>
    <t>2,5-4  lt/ha</t>
  </si>
  <si>
    <t>Gliphosate  360 g/lt</t>
  </si>
  <si>
    <t>Cremona</t>
  </si>
  <si>
    <t>Terni e Perugia</t>
  </si>
  <si>
    <t>46:00:00</t>
  </si>
  <si>
    <t>ROUNDUP 360</t>
  </si>
  <si>
    <t>2,3 l</t>
  </si>
  <si>
    <t>ZELIG</t>
  </si>
  <si>
    <t>KRONOS</t>
  </si>
  <si>
    <t>Oxyfluorfen 500 g/l</t>
  </si>
  <si>
    <t>0,33 l</t>
  </si>
  <si>
    <t>Pendimetalin 455g/l</t>
  </si>
  <si>
    <t>Ferrara</t>
  </si>
  <si>
    <t>15% si</t>
  </si>
  <si>
    <t>Roundup 450</t>
  </si>
  <si>
    <t>Gliphosate  450 g/lt</t>
  </si>
  <si>
    <t>2 lt/ha</t>
  </si>
  <si>
    <t>7 g</t>
  </si>
  <si>
    <t>Tifensulfuron Met 50%</t>
  </si>
  <si>
    <t>Ascoli Piceno e Fermo</t>
  </si>
  <si>
    <t>collina interna</t>
  </si>
  <si>
    <t>35:0:0</t>
  </si>
  <si>
    <t>Osimo</t>
  </si>
  <si>
    <t>34:16:00</t>
  </si>
  <si>
    <t>GOAL 481</t>
  </si>
  <si>
    <t>Provincia</t>
  </si>
  <si>
    <t>GOAL 482</t>
  </si>
  <si>
    <t>0,35 l</t>
  </si>
  <si>
    <t>Fermo</t>
  </si>
  <si>
    <t>collina litoranea</t>
  </si>
  <si>
    <t>25:10:00</t>
  </si>
  <si>
    <t>GOAL 483</t>
  </si>
  <si>
    <t>Novara</t>
  </si>
  <si>
    <t>PIEMONTE</t>
  </si>
  <si>
    <t>Pendimetalin 365 g/l</t>
  </si>
  <si>
    <t>Novara (irrig)</t>
  </si>
  <si>
    <t>20,5:0:0</t>
  </si>
  <si>
    <t>Clomazone 360 g/l</t>
  </si>
  <si>
    <t>Metolachlor 960 g/l</t>
  </si>
  <si>
    <t>1,3 l</t>
  </si>
  <si>
    <t>10 g</t>
  </si>
  <si>
    <t>Bologna</t>
  </si>
  <si>
    <t>18:46:00</t>
  </si>
  <si>
    <t>Forlì Cesena</t>
  </si>
  <si>
    <t>Parma</t>
  </si>
  <si>
    <t>Piacenza</t>
  </si>
  <si>
    <t>Rimini</t>
  </si>
  <si>
    <t>Roma</t>
  </si>
  <si>
    <t>8:4:4</t>
  </si>
  <si>
    <t>Pesaro Urbino</t>
  </si>
  <si>
    <t>MOLISE</t>
  </si>
  <si>
    <t>Campobasso</t>
  </si>
  <si>
    <t>PUGLIA</t>
  </si>
  <si>
    <t>Foggia</t>
  </si>
  <si>
    <t>Arezzo</t>
  </si>
  <si>
    <t>Pistoia</t>
  </si>
  <si>
    <t>Siena</t>
  </si>
  <si>
    <t>Perugia</t>
  </si>
  <si>
    <t>Force</t>
  </si>
  <si>
    <t>Teflutrin 0,5%w</t>
  </si>
  <si>
    <t>KARATE ZEON</t>
  </si>
  <si>
    <t>Lambda cialotrina 100 g/l</t>
  </si>
  <si>
    <t>0,2 l</t>
  </si>
  <si>
    <t xml:space="preserve">Firenze </t>
  </si>
  <si>
    <t>Modena</t>
  </si>
  <si>
    <t>Ravenna</t>
  </si>
  <si>
    <t>Reggio Emilia</t>
  </si>
  <si>
    <t>Bergamo</t>
  </si>
  <si>
    <t>Brescia</t>
  </si>
  <si>
    <t>Milano</t>
  </si>
  <si>
    <t>Pavia</t>
  </si>
  <si>
    <t>Alessandria</t>
  </si>
  <si>
    <t>Cuneo</t>
  </si>
  <si>
    <t>Torino</t>
  </si>
  <si>
    <t>Vercelli</t>
  </si>
  <si>
    <t>ABRUZZO</t>
  </si>
  <si>
    <t>Chieti</t>
  </si>
  <si>
    <t>36:00:00</t>
  </si>
  <si>
    <t>Teramo</t>
  </si>
  <si>
    <t>BASILICATA</t>
  </si>
  <si>
    <t>Potenza</t>
  </si>
  <si>
    <t>CAMPANIA</t>
  </si>
  <si>
    <t>Avellino</t>
  </si>
  <si>
    <t>Benevento</t>
  </si>
  <si>
    <t>FRIULI V G</t>
  </si>
  <si>
    <t>Rovigo</t>
  </si>
  <si>
    <t>Firenze</t>
  </si>
  <si>
    <t>26:00:00</t>
  </si>
  <si>
    <t>220g</t>
  </si>
  <si>
    <t>500 g</t>
  </si>
  <si>
    <t>220 g</t>
  </si>
  <si>
    <t>Tribenuron metile 50%w</t>
  </si>
  <si>
    <t>25g</t>
  </si>
  <si>
    <t>00:46:00</t>
  </si>
  <si>
    <t>20g</t>
  </si>
  <si>
    <t>Toscana 1</t>
  </si>
  <si>
    <t>Toscana 2</t>
  </si>
  <si>
    <t>Carbosulfan</t>
  </si>
  <si>
    <t>600g</t>
  </si>
  <si>
    <t>12 kg</t>
  </si>
  <si>
    <t>ROVRAL</t>
  </si>
  <si>
    <t>Iprodione 500 g/l</t>
  </si>
  <si>
    <t>21:00:00</t>
  </si>
  <si>
    <t>un questionario è incompleto (gasolio)</t>
  </si>
  <si>
    <t>FRIULI VEN GIU</t>
  </si>
  <si>
    <t>gCO2eq/MJolio</t>
  </si>
  <si>
    <t>nc</t>
  </si>
  <si>
    <t>Considerando diff RED su colza</t>
  </si>
  <si>
    <t>FAME</t>
  </si>
  <si>
    <t>oli</t>
  </si>
  <si>
    <t>rapporto oil/FAME</t>
  </si>
  <si>
    <t>gCO2eq/MJFAME</t>
  </si>
  <si>
    <t>assente</t>
  </si>
  <si>
    <t>FRIULI VENEZIA GIULIA</t>
  </si>
  <si>
    <t>Values are referred to Ha (Hectare)</t>
  </si>
  <si>
    <t>Yeld (t)</t>
  </si>
  <si>
    <t>Data per ha</t>
  </si>
  <si>
    <t>Moisture (%)</t>
  </si>
  <si>
    <t>Residues removed</t>
  </si>
  <si>
    <t>Seeds (kg)</t>
  </si>
  <si>
    <t>Diesel (litri)</t>
  </si>
  <si>
    <t>Fertilizer N (kg N)</t>
  </si>
  <si>
    <t>Fertilizer P (kg P2O5)</t>
  </si>
  <si>
    <t>Fertilizer K (kg K2O)</t>
  </si>
  <si>
    <t>Pesticides (Kg p.a.)</t>
  </si>
  <si>
    <t>Fertilizer content x:y:z</t>
  </si>
  <si>
    <t>Quantity of fertilizer (kg)</t>
  </si>
  <si>
    <t>Name</t>
  </si>
  <si>
    <t>Quantity of pesticide</t>
  </si>
  <si>
    <t>Reference ha</t>
  </si>
  <si>
    <t>Province (NUTS 3) or region</t>
  </si>
  <si>
    <t>n.a</t>
  </si>
  <si>
    <t>n.a.</t>
  </si>
  <si>
    <r>
      <t>(gCO2eq/MJ</t>
    </r>
    <r>
      <rPr>
        <b/>
        <vertAlign val="subscript"/>
        <sz val="12"/>
        <color theme="1"/>
        <rFont val="Times New Roman"/>
        <family val="1"/>
      </rPr>
      <t>oil</t>
    </r>
    <r>
      <rPr>
        <b/>
        <sz val="12"/>
        <color theme="1"/>
        <rFont val="Times New Roman"/>
        <family val="1"/>
      </rPr>
      <t>)</t>
    </r>
  </si>
  <si>
    <t>Red and Yellow mean a criticality</t>
  </si>
  <si>
    <t>Irrigation</t>
  </si>
  <si>
    <t>Average values for Biograce calculation</t>
  </si>
  <si>
    <t>Yeld</t>
  </si>
  <si>
    <t>Moisture</t>
  </si>
  <si>
    <t>N</t>
  </si>
  <si>
    <t>P</t>
  </si>
  <si>
    <t>K</t>
  </si>
  <si>
    <t>Seeds</t>
  </si>
  <si>
    <t>Pesticide</t>
  </si>
  <si>
    <t>BIOGRACE RESULTS: emissions cultivazione phase (eec) Sunflower</t>
  </si>
  <si>
    <t>BIOGRACE RESULTS: emissions cultivazione phase (eec) Rapeseed</t>
  </si>
  <si>
    <t>WITH GWP RED sresults change as follow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</si>
</sst>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1" fillId="0" borderId="0" xfId="0" applyFont="1"/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/>
    <xf numFmtId="0" fontId="0" fillId="0" borderId="10" xfId="0" applyFill="1" applyBorder="1"/>
    <xf numFmtId="0" fontId="0" fillId="0" borderId="11" xfId="0" applyFill="1" applyBorder="1" applyAlignment="1">
      <alignment horizontal="right"/>
    </xf>
    <xf numFmtId="0" fontId="0" fillId="0" borderId="9" xfId="0" applyFill="1" applyBorder="1"/>
    <xf numFmtId="0" fontId="0" fillId="0" borderId="11" xfId="0" applyFill="1" applyBorder="1"/>
    <xf numFmtId="0" fontId="0" fillId="0" borderId="0" xfId="0" applyFill="1" applyBorder="1" applyAlignment="1">
      <alignment horizontal="right"/>
    </xf>
    <xf numFmtId="0" fontId="1" fillId="0" borderId="1" xfId="0" applyFont="1" applyBorder="1"/>
    <xf numFmtId="0" fontId="1" fillId="0" borderId="6" xfId="0" applyFont="1" applyBorder="1"/>
    <xf numFmtId="0" fontId="1" fillId="0" borderId="9" xfId="0" applyFont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/>
    <xf numFmtId="0" fontId="0" fillId="0" borderId="18" xfId="0" applyFill="1" applyBorder="1"/>
    <xf numFmtId="0" fontId="0" fillId="0" borderId="17" xfId="0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21" xfId="0" applyFill="1" applyBorder="1"/>
    <xf numFmtId="0" fontId="0" fillId="0" borderId="17" xfId="0" applyFill="1" applyBorder="1"/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2" borderId="0" xfId="0" applyFill="1"/>
    <xf numFmtId="0" fontId="0" fillId="0" borderId="0" xfId="0" applyBorder="1" applyAlignment="1">
      <alignment horizontal="left" vertical="top"/>
    </xf>
    <xf numFmtId="46" fontId="0" fillId="0" borderId="14" xfId="0" applyNumberFormat="1" applyBorder="1" applyAlignment="1">
      <alignment horizontal="center"/>
    </xf>
    <xf numFmtId="0" fontId="0" fillId="2" borderId="0" xfId="0" applyFill="1" applyAlignment="1">
      <alignment horizontal="right"/>
    </xf>
    <xf numFmtId="2" fontId="0" fillId="0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4" xfId="0" applyBorder="1"/>
    <xf numFmtId="0" fontId="0" fillId="0" borderId="24" xfId="0" applyFill="1" applyBorder="1"/>
    <xf numFmtId="2" fontId="0" fillId="0" borderId="0" xfId="0" applyNumberFormat="1" applyFill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1" xfId="0" applyBorder="1"/>
    <xf numFmtId="0" fontId="0" fillId="0" borderId="25" xfId="0" applyBorder="1"/>
    <xf numFmtId="0" fontId="0" fillId="0" borderId="19" xfId="0" applyBorder="1"/>
    <xf numFmtId="0" fontId="0" fillId="0" borderId="12" xfId="0" applyBorder="1"/>
    <xf numFmtId="0" fontId="0" fillId="0" borderId="26" xfId="0" applyBorder="1"/>
    <xf numFmtId="2" fontId="0" fillId="0" borderId="17" xfId="0" applyNumberFormat="1" applyBorder="1" applyAlignment="1">
      <alignment horizontal="center" vertical="center"/>
    </xf>
    <xf numFmtId="0" fontId="0" fillId="0" borderId="22" xfId="0" applyFill="1" applyBorder="1"/>
    <xf numFmtId="0" fontId="0" fillId="0" borderId="23" xfId="0" applyFill="1" applyBorder="1"/>
    <xf numFmtId="2" fontId="0" fillId="0" borderId="0" xfId="0" applyNumberFormat="1" applyAlignment="1">
      <alignment horizontal="center" vertical="center"/>
    </xf>
    <xf numFmtId="0" fontId="0" fillId="0" borderId="26" xfId="0" applyFill="1" applyBorder="1"/>
    <xf numFmtId="0" fontId="1" fillId="0" borderId="0" xfId="0" applyFont="1" applyFill="1"/>
    <xf numFmtId="1" fontId="0" fillId="0" borderId="0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/>
    <xf numFmtId="164" fontId="0" fillId="0" borderId="0" xfId="0" applyNumberFormat="1"/>
    <xf numFmtId="2" fontId="0" fillId="2" borderId="0" xfId="0" applyNumberFormat="1" applyFill="1"/>
    <xf numFmtId="164" fontId="0" fillId="2" borderId="0" xfId="0" applyNumberFormat="1" applyFill="1"/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2" borderId="4" xfId="0" applyFill="1" applyBorder="1"/>
    <xf numFmtId="0" fontId="1" fillId="0" borderId="10" xfId="0" applyFont="1" applyBorder="1" applyAlignment="1">
      <alignment horizontal="center" vertical="center"/>
    </xf>
    <xf numFmtId="0" fontId="0" fillId="3" borderId="0" xfId="0" applyFill="1"/>
    <xf numFmtId="2" fontId="0" fillId="3" borderId="0" xfId="0" applyNumberFormat="1" applyFill="1"/>
    <xf numFmtId="164" fontId="0" fillId="3" borderId="0" xfId="0" applyNumberFormat="1" applyFill="1"/>
    <xf numFmtId="2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Fill="1" applyBorder="1"/>
    <xf numFmtId="0" fontId="4" fillId="0" borderId="5" xfId="0" applyFont="1" applyFill="1" applyBorder="1"/>
    <xf numFmtId="0" fontId="0" fillId="0" borderId="28" xfId="0" applyFill="1" applyBorder="1"/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0" borderId="4" xfId="0" applyFont="1" applyFill="1" applyBorder="1"/>
    <xf numFmtId="2" fontId="4" fillId="0" borderId="0" xfId="0" applyNumberFormat="1" applyFont="1" applyAlignment="1">
      <alignment horizontal="center" vertical="center"/>
    </xf>
    <xf numFmtId="0" fontId="4" fillId="0" borderId="18" xfId="0" applyFont="1" applyBorder="1"/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0" fontId="1" fillId="0" borderId="0" xfId="0" applyFont="1" applyBorder="1"/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164" fontId="0" fillId="0" borderId="5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right" vertical="center"/>
    </xf>
    <xf numFmtId="21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2" borderId="12" xfId="0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5" borderId="0" xfId="0" applyFill="1" applyBorder="1"/>
    <xf numFmtId="2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4" xfId="0" applyFill="1" applyBorder="1"/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5" borderId="9" xfId="0" applyFill="1" applyBorder="1"/>
    <xf numFmtId="0" fontId="0" fillId="5" borderId="10" xfId="0" applyFill="1" applyBorder="1"/>
    <xf numFmtId="0" fontId="6" fillId="0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9" fontId="6" fillId="0" borderId="0" xfId="0" applyNumberFormat="1" applyFont="1" applyFill="1"/>
    <xf numFmtId="0" fontId="6" fillId="0" borderId="5" xfId="0" applyFont="1" applyFill="1" applyBorder="1" applyAlignment="1">
      <alignment horizontal="right"/>
    </xf>
    <xf numFmtId="2" fontId="0" fillId="0" borderId="0" xfId="0" applyNumberFormat="1" applyFill="1" applyBorder="1"/>
    <xf numFmtId="1" fontId="0" fillId="0" borderId="0" xfId="0" applyNumberFormat="1"/>
    <xf numFmtId="1" fontId="0" fillId="0" borderId="0" xfId="0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6" xfId="0" applyBorder="1"/>
    <xf numFmtId="2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164" fontId="0" fillId="0" borderId="5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1" fontId="0" fillId="0" borderId="17" xfId="0" applyNumberFormat="1" applyBorder="1"/>
    <xf numFmtId="0" fontId="0" fillId="0" borderId="24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5" borderId="4" xfId="0" applyFill="1" applyBorder="1"/>
    <xf numFmtId="0" fontId="0" fillId="0" borderId="0" xfId="0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0" fillId="3" borderId="29" xfId="0" applyFill="1" applyBorder="1"/>
    <xf numFmtId="0" fontId="0" fillId="2" borderId="29" xfId="0" applyFill="1" applyBorder="1"/>
    <xf numFmtId="0" fontId="1" fillId="0" borderId="16" xfId="0" applyFont="1" applyBorder="1"/>
    <xf numFmtId="0" fontId="1" fillId="0" borderId="13" xfId="0" applyFont="1" applyBorder="1"/>
    <xf numFmtId="0" fontId="1" fillId="0" borderId="17" xfId="0" applyFont="1" applyBorder="1"/>
    <xf numFmtId="0" fontId="0" fillId="4" borderId="24" xfId="0" applyFill="1" applyBorder="1"/>
    <xf numFmtId="164" fontId="0" fillId="2" borderId="0" xfId="0" applyNumberFormat="1" applyFill="1" applyAlignment="1">
      <alignment horizontal="right" vertical="center"/>
    </xf>
    <xf numFmtId="0" fontId="1" fillId="0" borderId="1" xfId="0" applyFont="1" applyFill="1" applyBorder="1"/>
    <xf numFmtId="0" fontId="1" fillId="5" borderId="0" xfId="0" applyFont="1" applyFill="1" applyBorder="1"/>
    <xf numFmtId="0" fontId="0" fillId="0" borderId="25" xfId="0" applyBorder="1" applyAlignment="1">
      <alignment horizontal="center"/>
    </xf>
    <xf numFmtId="0" fontId="1" fillId="0" borderId="17" xfId="0" applyFont="1" applyFill="1" applyBorder="1"/>
    <xf numFmtId="164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1" xfId="0" applyFill="1" applyBorder="1"/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2" borderId="1" xfId="0" applyFill="1" applyBorder="1"/>
    <xf numFmtId="164" fontId="4" fillId="2" borderId="0" xfId="0" applyNumberFormat="1" applyFont="1" applyFill="1"/>
    <xf numFmtId="2" fontId="7" fillId="0" borderId="0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0" fillId="0" borderId="25" xfId="0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opLeftCell="A51" workbookViewId="0">
      <selection activeCell="L57" sqref="L57:L63"/>
    </sheetView>
  </sheetViews>
  <sheetFormatPr defaultRowHeight="15" x14ac:dyDescent="0.25"/>
  <cols>
    <col min="1" max="1" width="18" customWidth="1"/>
    <col min="2" max="2" width="27.42578125" customWidth="1"/>
    <col min="3" max="3" width="24.42578125" customWidth="1"/>
    <col min="4" max="5" width="9.28515625" bestFit="1" customWidth="1"/>
    <col min="6" max="6" width="10.5703125" bestFit="1" customWidth="1"/>
    <col min="7" max="11" width="9.28515625" bestFit="1" customWidth="1"/>
    <col min="14" max="14" width="13.7109375" customWidth="1"/>
    <col min="21" max="21" width="14.7109375" customWidth="1"/>
    <col min="22" max="22" width="20" customWidth="1"/>
    <col min="23" max="23" width="13.85546875" customWidth="1"/>
    <col min="24" max="24" width="11.7109375" customWidth="1"/>
    <col min="25" max="25" width="18.7109375" customWidth="1"/>
    <col min="27" max="27" width="12.85546875" customWidth="1"/>
    <col min="28" max="28" width="19.5703125" customWidth="1"/>
    <col min="30" max="30" width="14.5703125" customWidth="1"/>
    <col min="31" max="31" width="17.7109375" customWidth="1"/>
    <col min="32" max="32" width="12.7109375" customWidth="1"/>
  </cols>
  <sheetData>
    <row r="1" spans="1:31" x14ac:dyDescent="0.25">
      <c r="D1" t="s">
        <v>468</v>
      </c>
      <c r="G1" t="s">
        <v>62</v>
      </c>
      <c r="U1" s="37"/>
    </row>
    <row r="2" spans="1:31" ht="61.5" customHeight="1" thickBot="1" x14ac:dyDescent="0.3">
      <c r="A2" s="7" t="s">
        <v>0</v>
      </c>
      <c r="B2" t="s">
        <v>482</v>
      </c>
      <c r="C2" t="s">
        <v>481</v>
      </c>
      <c r="D2" s="23" t="s">
        <v>467</v>
      </c>
      <c r="E2" s="23" t="s">
        <v>469</v>
      </c>
      <c r="F2" s="23" t="s">
        <v>470</v>
      </c>
      <c r="G2" s="23" t="s">
        <v>471</v>
      </c>
      <c r="H2" s="23" t="s">
        <v>472</v>
      </c>
      <c r="I2" s="23" t="s">
        <v>473</v>
      </c>
      <c r="J2" s="23" t="s">
        <v>474</v>
      </c>
      <c r="K2" s="23" t="s">
        <v>475</v>
      </c>
      <c r="L2" s="23" t="s">
        <v>476</v>
      </c>
      <c r="M2" s="23" t="s">
        <v>478</v>
      </c>
      <c r="N2" s="23" t="s">
        <v>477</v>
      </c>
      <c r="O2" s="23" t="s">
        <v>478</v>
      </c>
      <c r="P2" s="23" t="s">
        <v>477</v>
      </c>
      <c r="Q2" s="23" t="s">
        <v>478</v>
      </c>
      <c r="R2" s="23" t="s">
        <v>477</v>
      </c>
      <c r="S2" s="23" t="s">
        <v>478</v>
      </c>
      <c r="T2" s="23" t="s">
        <v>477</v>
      </c>
      <c r="U2" s="38" t="s">
        <v>479</v>
      </c>
      <c r="V2" s="23" t="s">
        <v>33</v>
      </c>
      <c r="W2" s="23" t="s">
        <v>480</v>
      </c>
      <c r="X2" s="23" t="s">
        <v>479</v>
      </c>
      <c r="Y2" s="23" t="s">
        <v>33</v>
      </c>
      <c r="Z2" s="23" t="s">
        <v>480</v>
      </c>
      <c r="AA2" s="23" t="s">
        <v>479</v>
      </c>
      <c r="AB2" s="23" t="s">
        <v>33</v>
      </c>
      <c r="AC2" s="23" t="s">
        <v>480</v>
      </c>
      <c r="AD2" s="23" t="s">
        <v>479</v>
      </c>
      <c r="AE2" s="23" t="s">
        <v>33</v>
      </c>
    </row>
    <row r="3" spans="1:31" x14ac:dyDescent="0.25">
      <c r="A3" s="19" t="s">
        <v>7</v>
      </c>
      <c r="B3" s="1" t="s">
        <v>1</v>
      </c>
      <c r="C3" s="2">
        <v>300</v>
      </c>
      <c r="D3" s="22">
        <v>2.7</v>
      </c>
      <c r="E3" s="22">
        <v>9</v>
      </c>
      <c r="F3" s="25" t="s">
        <v>34</v>
      </c>
      <c r="G3" s="22">
        <v>7.5</v>
      </c>
      <c r="H3" s="22">
        <v>120</v>
      </c>
      <c r="I3" s="22">
        <f>M3*0.11</f>
        <v>33</v>
      </c>
      <c r="J3" s="22">
        <f>M3*0.22</f>
        <v>66</v>
      </c>
      <c r="K3" s="22">
        <f>M3*0.165</f>
        <v>49.5</v>
      </c>
      <c r="L3" s="72">
        <f>1.5*0.679+1*0.96</f>
        <v>1.9784999999999999</v>
      </c>
      <c r="M3" s="22">
        <v>300</v>
      </c>
      <c r="N3" s="24" t="s">
        <v>35</v>
      </c>
      <c r="O3" s="22"/>
      <c r="P3" s="22"/>
      <c r="Q3" s="22"/>
      <c r="R3" s="22"/>
      <c r="S3" s="22"/>
      <c r="T3" s="22"/>
      <c r="U3" s="37" t="s">
        <v>96</v>
      </c>
      <c r="V3" t="s">
        <v>36</v>
      </c>
      <c r="W3" t="s">
        <v>39</v>
      </c>
      <c r="X3" t="s">
        <v>37</v>
      </c>
      <c r="Y3" t="s">
        <v>38</v>
      </c>
      <c r="Z3" t="s">
        <v>41</v>
      </c>
    </row>
    <row r="4" spans="1:31" x14ac:dyDescent="0.25">
      <c r="A4" s="3"/>
      <c r="B4" s="115" t="s">
        <v>1</v>
      </c>
      <c r="C4" s="116">
        <v>4500</v>
      </c>
      <c r="D4" s="22">
        <v>2.7</v>
      </c>
      <c r="E4" s="22">
        <v>9</v>
      </c>
      <c r="F4" s="32" t="s">
        <v>34</v>
      </c>
      <c r="G4" s="22">
        <f>6*1.2</f>
        <v>7.1999999999999993</v>
      </c>
      <c r="H4" s="22">
        <f>170</f>
        <v>170</v>
      </c>
      <c r="I4" s="114">
        <f>M4*0.1+O4*0.3+Q4*0.46+S4*0.1</f>
        <v>197</v>
      </c>
      <c r="J4" s="114">
        <f>M4*0.34+Q4*0.21+S4*0.3</f>
        <v>136</v>
      </c>
      <c r="K4" s="22">
        <v>0</v>
      </c>
      <c r="L4" s="72"/>
      <c r="M4" s="22">
        <v>100</v>
      </c>
      <c r="N4" s="24" t="s">
        <v>256</v>
      </c>
      <c r="O4" s="22">
        <v>250</v>
      </c>
      <c r="P4" s="112">
        <v>1.25</v>
      </c>
      <c r="Q4" s="22">
        <v>200</v>
      </c>
      <c r="R4" s="112">
        <v>1.9312500000000001</v>
      </c>
      <c r="S4" s="22">
        <v>200</v>
      </c>
      <c r="T4" s="113">
        <v>0.4375</v>
      </c>
      <c r="U4" s="37"/>
    </row>
    <row r="5" spans="1:31" x14ac:dyDescent="0.25">
      <c r="A5" s="3"/>
      <c r="B5" s="4" t="s">
        <v>2</v>
      </c>
      <c r="C5" s="5">
        <v>119</v>
      </c>
      <c r="D5" s="22">
        <v>2.2000000000000002</v>
      </c>
      <c r="E5" s="22">
        <v>8</v>
      </c>
      <c r="F5" s="22" t="s">
        <v>34</v>
      </c>
      <c r="G5" s="25">
        <v>6</v>
      </c>
      <c r="H5" s="22">
        <v>160</v>
      </c>
      <c r="I5" s="22">
        <f>M5*0.11+O5*0.46</f>
        <v>79</v>
      </c>
      <c r="J5" s="22">
        <f>M5*0.22</f>
        <v>66</v>
      </c>
      <c r="K5" s="22">
        <f>M5*0.16</f>
        <v>48</v>
      </c>
      <c r="L5" s="72">
        <f>0.5*0.48</f>
        <v>0.24</v>
      </c>
      <c r="M5" s="22">
        <v>300</v>
      </c>
      <c r="N5" s="24" t="s">
        <v>42</v>
      </c>
      <c r="O5" s="22">
        <v>100</v>
      </c>
      <c r="P5" s="24" t="s">
        <v>43</v>
      </c>
      <c r="Q5" s="22"/>
      <c r="R5" s="24"/>
      <c r="S5" s="22"/>
      <c r="T5" s="24"/>
      <c r="U5" s="37"/>
      <c r="V5" t="s">
        <v>44</v>
      </c>
      <c r="W5" t="s">
        <v>49</v>
      </c>
    </row>
    <row r="6" spans="1:31" x14ac:dyDescent="0.25">
      <c r="A6" s="3"/>
      <c r="B6" s="4" t="s">
        <v>3</v>
      </c>
      <c r="C6" s="5">
        <v>80</v>
      </c>
      <c r="D6" s="22">
        <v>2.8</v>
      </c>
      <c r="E6" s="22">
        <v>9</v>
      </c>
      <c r="F6" s="22" t="s">
        <v>34</v>
      </c>
      <c r="G6" s="22">
        <v>6</v>
      </c>
      <c r="H6" s="22">
        <v>120</v>
      </c>
      <c r="I6" s="22">
        <f>M6*0.25</f>
        <v>75</v>
      </c>
      <c r="J6" s="22">
        <f>M6*0.15</f>
        <v>45</v>
      </c>
      <c r="K6" s="22">
        <v>0</v>
      </c>
      <c r="L6" s="72">
        <f>1.5*0.45+0.5*0.48</f>
        <v>0.91500000000000004</v>
      </c>
      <c r="M6" s="22">
        <v>300</v>
      </c>
      <c r="N6" s="24" t="s">
        <v>45</v>
      </c>
      <c r="O6" s="22"/>
      <c r="P6" s="22"/>
      <c r="Q6" s="22"/>
      <c r="R6" s="22"/>
      <c r="S6" s="22"/>
      <c r="T6" s="22"/>
      <c r="U6" s="37" t="s">
        <v>52</v>
      </c>
      <c r="V6" t="s">
        <v>47</v>
      </c>
      <c r="W6" t="s">
        <v>48</v>
      </c>
      <c r="X6" t="s">
        <v>46</v>
      </c>
      <c r="Y6" t="s">
        <v>44</v>
      </c>
      <c r="Z6" t="s">
        <v>49</v>
      </c>
    </row>
    <row r="7" spans="1:31" x14ac:dyDescent="0.25">
      <c r="A7" s="3"/>
      <c r="B7" s="4" t="s">
        <v>2</v>
      </c>
      <c r="C7" s="5">
        <v>100</v>
      </c>
      <c r="D7" s="22">
        <v>1.6</v>
      </c>
      <c r="E7" s="22">
        <v>10</v>
      </c>
      <c r="F7" s="22" t="s">
        <v>34</v>
      </c>
      <c r="G7" s="22">
        <v>6</v>
      </c>
      <c r="H7" s="22">
        <v>130</v>
      </c>
      <c r="I7" s="22">
        <f>M7*0.18+O7*0.46</f>
        <v>73</v>
      </c>
      <c r="J7" s="22">
        <f>M7*0.46</f>
        <v>69</v>
      </c>
      <c r="K7" s="22">
        <v>0</v>
      </c>
      <c r="L7" s="72">
        <f>0.5*0.429</f>
        <v>0.2145</v>
      </c>
      <c r="M7" s="22">
        <v>150</v>
      </c>
      <c r="N7" s="24" t="s">
        <v>50</v>
      </c>
      <c r="O7" s="22">
        <v>100</v>
      </c>
      <c r="P7" s="24" t="s">
        <v>43</v>
      </c>
      <c r="Q7" s="22"/>
      <c r="R7" s="24"/>
      <c r="S7" s="22"/>
      <c r="T7" s="24"/>
      <c r="U7" s="37" t="s">
        <v>51</v>
      </c>
      <c r="V7" t="s">
        <v>53</v>
      </c>
      <c r="W7" t="s">
        <v>54</v>
      </c>
    </row>
    <row r="8" spans="1:31" x14ac:dyDescent="0.25">
      <c r="A8" s="3"/>
      <c r="B8" s="117" t="s">
        <v>4</v>
      </c>
      <c r="C8" s="118">
        <v>3600</v>
      </c>
      <c r="D8" s="22">
        <v>2.2000000000000002</v>
      </c>
      <c r="E8" s="22">
        <v>9.5</v>
      </c>
      <c r="F8" s="22" t="s">
        <v>34</v>
      </c>
      <c r="G8" s="25">
        <v>6</v>
      </c>
      <c r="H8" s="22">
        <v>160</v>
      </c>
      <c r="I8" s="22">
        <f>M8*0.25</f>
        <v>130</v>
      </c>
      <c r="J8" s="22">
        <f>M8*0.15</f>
        <v>78</v>
      </c>
      <c r="K8" s="22">
        <v>0</v>
      </c>
      <c r="L8" s="72">
        <f>1.5*0.6+0.5*0.48</f>
        <v>1.1399999999999999</v>
      </c>
      <c r="M8" s="25">
        <f>130*100/25</f>
        <v>520</v>
      </c>
      <c r="N8" s="69" t="s">
        <v>55</v>
      </c>
      <c r="O8" s="22"/>
      <c r="P8" s="22"/>
      <c r="Q8" s="22"/>
      <c r="R8" s="22"/>
      <c r="S8" s="22"/>
      <c r="T8" s="22"/>
      <c r="U8" s="37" t="s">
        <v>59</v>
      </c>
      <c r="V8" t="s">
        <v>56</v>
      </c>
      <c r="W8" t="s">
        <v>48</v>
      </c>
      <c r="X8" t="s">
        <v>57</v>
      </c>
      <c r="Y8" t="s">
        <v>58</v>
      </c>
      <c r="Z8" t="s">
        <v>49</v>
      </c>
    </row>
    <row r="9" spans="1:31" x14ac:dyDescent="0.25">
      <c r="A9" s="3"/>
      <c r="B9" s="4" t="s">
        <v>6</v>
      </c>
      <c r="C9" s="5">
        <v>400</v>
      </c>
      <c r="D9" s="22">
        <v>2.5</v>
      </c>
      <c r="E9" s="22">
        <v>10.5</v>
      </c>
      <c r="F9" s="22" t="s">
        <v>34</v>
      </c>
      <c r="G9" s="22">
        <v>5.5</v>
      </c>
      <c r="H9" s="22">
        <v>165</v>
      </c>
      <c r="I9" s="22">
        <f>M9*0.18+O9*0.46</f>
        <v>114</v>
      </c>
      <c r="J9" s="22">
        <f>M9*0.46</f>
        <v>115</v>
      </c>
      <c r="K9" s="22">
        <v>0</v>
      </c>
      <c r="L9" s="72">
        <f>0.75*0.6+0.75*0.96</f>
        <v>1.17</v>
      </c>
      <c r="M9" s="22">
        <v>250</v>
      </c>
      <c r="N9" s="24" t="s">
        <v>50</v>
      </c>
      <c r="O9" s="22">
        <v>150</v>
      </c>
      <c r="P9" s="24" t="s">
        <v>43</v>
      </c>
      <c r="Q9" s="22"/>
      <c r="R9" s="24"/>
      <c r="S9" s="22"/>
      <c r="T9" s="24"/>
      <c r="U9" s="37" t="s">
        <v>59</v>
      </c>
      <c r="V9" t="s">
        <v>60</v>
      </c>
      <c r="W9" t="s">
        <v>61</v>
      </c>
      <c r="X9" t="s">
        <v>37</v>
      </c>
      <c r="Y9" t="s">
        <v>38</v>
      </c>
      <c r="Z9" t="s">
        <v>61</v>
      </c>
    </row>
    <row r="10" spans="1:31" x14ac:dyDescent="0.25">
      <c r="A10" s="3"/>
      <c r="B10" s="4" t="s">
        <v>14</v>
      </c>
      <c r="C10" s="5">
        <v>300</v>
      </c>
      <c r="D10" s="22">
        <v>3</v>
      </c>
      <c r="E10" s="22">
        <v>9</v>
      </c>
      <c r="F10" s="22" t="s">
        <v>34</v>
      </c>
      <c r="G10" s="25">
        <v>6</v>
      </c>
      <c r="H10" s="133">
        <f>165/0.85</f>
        <v>194.11764705882354</v>
      </c>
      <c r="I10" s="22">
        <f>M10*0.08+O10*0.46</f>
        <v>108</v>
      </c>
      <c r="J10" s="22">
        <f>M10*0.24</f>
        <v>48</v>
      </c>
      <c r="K10" s="22">
        <f>M10*0.24</f>
        <v>48</v>
      </c>
      <c r="L10" s="72">
        <f>0.25*0.48+1*0.6</f>
        <v>0.72</v>
      </c>
      <c r="M10" s="22">
        <v>200</v>
      </c>
      <c r="N10" s="24" t="s">
        <v>63</v>
      </c>
      <c r="O10" s="22">
        <v>200</v>
      </c>
      <c r="P10" s="24" t="s">
        <v>43</v>
      </c>
      <c r="Q10" s="22"/>
      <c r="R10" s="24"/>
      <c r="S10" s="22"/>
      <c r="T10" s="24"/>
      <c r="U10" s="37" t="s">
        <v>64</v>
      </c>
      <c r="V10" t="s">
        <v>65</v>
      </c>
      <c r="W10" t="s">
        <v>66</v>
      </c>
      <c r="X10" t="s">
        <v>59</v>
      </c>
      <c r="Y10" t="s">
        <v>67</v>
      </c>
      <c r="Z10" t="s">
        <v>41</v>
      </c>
    </row>
    <row r="11" spans="1:31" x14ac:dyDescent="0.25">
      <c r="A11" s="4"/>
      <c r="B11" s="6" t="s">
        <v>2</v>
      </c>
      <c r="C11" s="8">
        <v>130</v>
      </c>
      <c r="D11" s="22">
        <v>3</v>
      </c>
      <c r="E11" s="22">
        <v>10</v>
      </c>
      <c r="F11" s="22" t="s">
        <v>34</v>
      </c>
      <c r="G11" s="22">
        <v>10</v>
      </c>
      <c r="H11" s="133">
        <v>138</v>
      </c>
      <c r="I11" s="22">
        <f>M11*0.08+O11*0.46</f>
        <v>116</v>
      </c>
      <c r="J11" s="22">
        <f>M11*0.24</f>
        <v>72</v>
      </c>
      <c r="K11" s="22">
        <f>M11*0.24</f>
        <v>72</v>
      </c>
      <c r="L11" s="72">
        <f>4*0.35+0.5*0.48+20*0.075</f>
        <v>3.1399999999999997</v>
      </c>
      <c r="M11" s="22">
        <v>300</v>
      </c>
      <c r="N11" s="24" t="s">
        <v>63</v>
      </c>
      <c r="O11" s="22">
        <v>200</v>
      </c>
      <c r="P11" s="24" t="s">
        <v>43</v>
      </c>
      <c r="Q11" s="22"/>
      <c r="R11" s="24"/>
      <c r="S11" s="22"/>
      <c r="T11" s="24"/>
      <c r="U11" s="37" t="s">
        <v>73</v>
      </c>
      <c r="V11" t="s">
        <v>74</v>
      </c>
      <c r="W11" t="s">
        <v>75</v>
      </c>
      <c r="X11" t="s">
        <v>76</v>
      </c>
      <c r="Y11" t="s">
        <v>44</v>
      </c>
      <c r="Z11" t="s">
        <v>49</v>
      </c>
      <c r="AA11" t="s">
        <v>77</v>
      </c>
      <c r="AB11" t="s">
        <v>78</v>
      </c>
      <c r="AC11" t="s">
        <v>79</v>
      </c>
    </row>
    <row r="12" spans="1:31" x14ac:dyDescent="0.25">
      <c r="A12" s="4"/>
      <c r="B12" s="6" t="s">
        <v>11</v>
      </c>
      <c r="C12" s="8">
        <v>600</v>
      </c>
      <c r="D12" s="22">
        <v>3</v>
      </c>
      <c r="E12" s="22">
        <v>12</v>
      </c>
      <c r="F12" s="22" t="s">
        <v>34</v>
      </c>
      <c r="G12" s="22">
        <v>6</v>
      </c>
      <c r="H12" s="133">
        <f>80/0.85</f>
        <v>94.117647058823536</v>
      </c>
      <c r="I12" s="22">
        <f>M12*0.15+O12*0.46</f>
        <v>114</v>
      </c>
      <c r="J12" s="22">
        <f>M12*0.15</f>
        <v>45</v>
      </c>
      <c r="K12" s="22">
        <f>M12*0.15</f>
        <v>45</v>
      </c>
      <c r="L12" s="72">
        <f>(2*0.455+2.5*0.6)/2</f>
        <v>1.2050000000000001</v>
      </c>
      <c r="M12" s="22">
        <v>300</v>
      </c>
      <c r="N12" s="24" t="s">
        <v>80</v>
      </c>
      <c r="O12" s="22">
        <v>150</v>
      </c>
      <c r="P12" s="24" t="s">
        <v>43</v>
      </c>
      <c r="Q12" s="22"/>
      <c r="R12" s="24"/>
      <c r="S12" s="22"/>
      <c r="T12" s="24"/>
      <c r="U12" s="37" t="s">
        <v>81</v>
      </c>
      <c r="V12" t="s">
        <v>82</v>
      </c>
      <c r="W12" t="s">
        <v>84</v>
      </c>
      <c r="X12" t="s">
        <v>59</v>
      </c>
      <c r="Y12" t="s">
        <v>56</v>
      </c>
      <c r="Z12" t="s">
        <v>83</v>
      </c>
    </row>
    <row r="13" spans="1:31" x14ac:dyDescent="0.25">
      <c r="A13" s="4"/>
      <c r="B13" s="6" t="s">
        <v>1</v>
      </c>
      <c r="C13" s="9">
        <v>1750</v>
      </c>
      <c r="D13" s="22">
        <v>2.5</v>
      </c>
      <c r="E13" s="22">
        <v>10</v>
      </c>
      <c r="F13" s="22" t="s">
        <v>34</v>
      </c>
      <c r="G13" s="25">
        <v>6</v>
      </c>
      <c r="H13" s="133">
        <f>150/0.85</f>
        <v>176.47058823529412</v>
      </c>
      <c r="I13" s="22">
        <f>M13*0.08+O13*0.46</f>
        <v>108</v>
      </c>
      <c r="J13" s="22">
        <f>M13*0.24</f>
        <v>48</v>
      </c>
      <c r="K13" s="22">
        <f>M13*0.24</f>
        <v>48</v>
      </c>
      <c r="L13" s="72">
        <f>0.5*0.25+1.25*0.6</f>
        <v>0.875</v>
      </c>
      <c r="M13" s="22">
        <v>200</v>
      </c>
      <c r="N13" s="24" t="s">
        <v>63</v>
      </c>
      <c r="O13" s="22">
        <v>200</v>
      </c>
      <c r="P13" s="24" t="s">
        <v>43</v>
      </c>
      <c r="Q13" s="22"/>
      <c r="R13" s="24"/>
      <c r="S13" s="22"/>
      <c r="T13" s="24"/>
      <c r="U13" s="37" t="s">
        <v>90</v>
      </c>
      <c r="V13" t="s">
        <v>91</v>
      </c>
      <c r="W13" t="s">
        <v>49</v>
      </c>
      <c r="X13" t="s">
        <v>59</v>
      </c>
      <c r="Y13" t="s">
        <v>92</v>
      </c>
      <c r="Z13" t="s">
        <v>93</v>
      </c>
    </row>
    <row r="14" spans="1:31" x14ac:dyDescent="0.25">
      <c r="A14" s="148"/>
      <c r="B14" s="6" t="s">
        <v>305</v>
      </c>
      <c r="C14" s="9">
        <v>15</v>
      </c>
      <c r="D14" s="22">
        <v>2.5</v>
      </c>
      <c r="E14" s="22">
        <v>9</v>
      </c>
      <c r="F14" s="22" t="s">
        <v>34</v>
      </c>
      <c r="G14" s="93">
        <f>(70000/75000)*6</f>
        <v>5.6</v>
      </c>
      <c r="H14" s="133">
        <v>45</v>
      </c>
      <c r="I14" s="22">
        <f>M14*0.06</f>
        <v>12</v>
      </c>
      <c r="J14" s="22">
        <f>M14*0.15</f>
        <v>30</v>
      </c>
      <c r="K14" s="22">
        <f>M14*0.03</f>
        <v>6</v>
      </c>
      <c r="L14" s="72">
        <f>0.2</f>
        <v>0.2</v>
      </c>
      <c r="M14" s="22">
        <v>200</v>
      </c>
      <c r="N14" s="24" t="s">
        <v>306</v>
      </c>
      <c r="O14" s="22"/>
      <c r="P14" s="24"/>
      <c r="Q14" s="22"/>
      <c r="R14" s="24"/>
      <c r="S14" s="22"/>
      <c r="T14" s="24"/>
      <c r="U14" s="37" t="s">
        <v>259</v>
      </c>
      <c r="V14" s="4" t="s">
        <v>261</v>
      </c>
      <c r="W14" s="4" t="s">
        <v>148</v>
      </c>
      <c r="AA14" s="4"/>
      <c r="AB14" s="4"/>
      <c r="AC14" s="4"/>
    </row>
    <row r="15" spans="1:31" x14ac:dyDescent="0.25">
      <c r="A15" s="148"/>
      <c r="B15" s="6" t="s">
        <v>305</v>
      </c>
      <c r="C15" s="9">
        <v>60</v>
      </c>
      <c r="D15" s="22">
        <v>2.7</v>
      </c>
      <c r="E15" s="22">
        <v>11</v>
      </c>
      <c r="F15" s="22" t="s">
        <v>34</v>
      </c>
      <c r="G15" s="25">
        <v>6</v>
      </c>
      <c r="H15" s="133">
        <v>110</v>
      </c>
      <c r="I15" s="22">
        <f>M15*0.22+O15*0.26</f>
        <v>136</v>
      </c>
      <c r="J15" s="22">
        <f>M15*0.1</f>
        <v>50</v>
      </c>
      <c r="K15" s="22">
        <f>M15*0.08</f>
        <v>40</v>
      </c>
      <c r="L15" s="72">
        <f>2*0.45+0.25*0.48+1*0.6</f>
        <v>1.62</v>
      </c>
      <c r="M15" s="22">
        <v>500</v>
      </c>
      <c r="N15" s="24" t="s">
        <v>308</v>
      </c>
      <c r="O15" s="22">
        <v>100</v>
      </c>
      <c r="P15" s="24" t="s">
        <v>307</v>
      </c>
      <c r="Q15" s="22"/>
      <c r="R15" s="24"/>
      <c r="S15" s="22"/>
      <c r="T15" s="24"/>
      <c r="U15" s="37" t="s">
        <v>52</v>
      </c>
      <c r="V15" t="s">
        <v>47</v>
      </c>
      <c r="W15" t="s">
        <v>89</v>
      </c>
      <c r="X15" t="s">
        <v>46</v>
      </c>
      <c r="Y15" t="s">
        <v>44</v>
      </c>
      <c r="Z15" t="s">
        <v>66</v>
      </c>
      <c r="AA15" s="4" t="s">
        <v>197</v>
      </c>
      <c r="AB15" s="4" t="s">
        <v>309</v>
      </c>
      <c r="AC15" s="4" t="s">
        <v>40</v>
      </c>
    </row>
    <row r="16" spans="1:31" x14ac:dyDescent="0.25">
      <c r="A16" s="148"/>
      <c r="B16" s="6" t="s">
        <v>310</v>
      </c>
      <c r="C16" s="9">
        <v>28</v>
      </c>
      <c r="D16" s="22">
        <v>1.5</v>
      </c>
      <c r="E16" s="22">
        <v>10.5</v>
      </c>
      <c r="F16" s="22" t="s">
        <v>34</v>
      </c>
      <c r="G16" s="93">
        <f>(70000/75000)*6</f>
        <v>5.6</v>
      </c>
      <c r="H16" s="133">
        <v>175</v>
      </c>
      <c r="I16" s="22">
        <f>M16*0.2+O16*0.46</f>
        <v>132</v>
      </c>
      <c r="J16" s="22">
        <f>M16*0.1</f>
        <v>20</v>
      </c>
      <c r="K16" s="22">
        <f>M16*0.1</f>
        <v>20</v>
      </c>
      <c r="L16" s="72">
        <f>2*0.36+0.5*0.48</f>
        <v>0.96</v>
      </c>
      <c r="M16" s="22">
        <v>200</v>
      </c>
      <c r="N16" s="24" t="s">
        <v>311</v>
      </c>
      <c r="O16" s="22">
        <v>200</v>
      </c>
      <c r="P16" s="24" t="s">
        <v>43</v>
      </c>
      <c r="Q16" s="22"/>
      <c r="R16" s="24"/>
      <c r="S16" s="22"/>
      <c r="T16" s="24"/>
      <c r="U16" s="37" t="s">
        <v>312</v>
      </c>
      <c r="V16" t="s">
        <v>178</v>
      </c>
      <c r="W16" t="s">
        <v>89</v>
      </c>
      <c r="X16" t="s">
        <v>46</v>
      </c>
      <c r="Y16" t="s">
        <v>44</v>
      </c>
      <c r="Z16" t="s">
        <v>49</v>
      </c>
      <c r="AA16" s="4"/>
      <c r="AB16" s="4"/>
      <c r="AC16" s="4"/>
    </row>
    <row r="17" spans="1:32" x14ac:dyDescent="0.25">
      <c r="A17" s="148"/>
      <c r="B17" s="6" t="s">
        <v>406</v>
      </c>
      <c r="C17" s="9">
        <v>172</v>
      </c>
      <c r="D17" s="22">
        <v>3.3</v>
      </c>
      <c r="E17" s="22">
        <v>9</v>
      </c>
      <c r="F17" s="22" t="s">
        <v>34</v>
      </c>
      <c r="G17" s="93">
        <v>6</v>
      </c>
      <c r="H17" s="133">
        <v>115</v>
      </c>
      <c r="I17" s="36">
        <f>M17*0.18+O17*0.46</f>
        <v>105</v>
      </c>
      <c r="J17" s="36">
        <f>M17*0.46</f>
        <v>92</v>
      </c>
      <c r="K17" s="36">
        <v>0</v>
      </c>
      <c r="L17" s="145">
        <f>2.5*0.45+1.5*0.6</f>
        <v>2.0249999999999999</v>
      </c>
      <c r="M17" s="22">
        <v>200</v>
      </c>
      <c r="N17" s="24" t="s">
        <v>394</v>
      </c>
      <c r="O17" s="22">
        <v>150</v>
      </c>
      <c r="P17" s="24" t="s">
        <v>43</v>
      </c>
      <c r="Q17" s="22"/>
      <c r="R17" s="24"/>
      <c r="S17" s="22"/>
      <c r="T17" s="24"/>
      <c r="U17" s="37" t="s">
        <v>52</v>
      </c>
      <c r="V17" s="4" t="s">
        <v>47</v>
      </c>
      <c r="W17" s="4" t="s">
        <v>294</v>
      </c>
      <c r="X17" s="4" t="s">
        <v>59</v>
      </c>
      <c r="Y17" s="4" t="s">
        <v>92</v>
      </c>
      <c r="Z17" s="4" t="s">
        <v>48</v>
      </c>
      <c r="AA17" s="4"/>
      <c r="AB17" s="4"/>
      <c r="AC17" s="4"/>
    </row>
    <row r="18" spans="1:32" x14ac:dyDescent="0.25">
      <c r="A18" s="148"/>
      <c r="B18" s="6" t="s">
        <v>407</v>
      </c>
      <c r="C18" s="9">
        <v>84</v>
      </c>
      <c r="D18" s="22">
        <v>3.3</v>
      </c>
      <c r="E18" s="22">
        <v>9</v>
      </c>
      <c r="F18" s="22" t="s">
        <v>34</v>
      </c>
      <c r="G18" s="93">
        <v>6</v>
      </c>
      <c r="H18" s="133">
        <v>115</v>
      </c>
      <c r="I18" s="36">
        <f>M18*0.18+O18*0.46</f>
        <v>105</v>
      </c>
      <c r="J18" s="36">
        <f>M18*0.46</f>
        <v>92</v>
      </c>
      <c r="K18" s="36">
        <v>0</v>
      </c>
      <c r="L18" s="145">
        <f>2.5*0.45+1.5*0.6</f>
        <v>2.0249999999999999</v>
      </c>
      <c r="M18" s="22">
        <v>200</v>
      </c>
      <c r="N18" s="24" t="s">
        <v>394</v>
      </c>
      <c r="O18" s="22">
        <v>150</v>
      </c>
      <c r="P18" s="24" t="s">
        <v>43</v>
      </c>
      <c r="Q18" s="22"/>
      <c r="R18" s="24"/>
      <c r="S18" s="22"/>
      <c r="T18" s="24"/>
      <c r="U18" s="37" t="s">
        <v>52</v>
      </c>
      <c r="V18" s="4" t="s">
        <v>47</v>
      </c>
      <c r="W18" s="4" t="s">
        <v>294</v>
      </c>
      <c r="X18" s="4" t="s">
        <v>59</v>
      </c>
      <c r="Y18" s="4" t="s">
        <v>92</v>
      </c>
      <c r="Z18" s="4" t="s">
        <v>48</v>
      </c>
      <c r="AA18" s="4"/>
      <c r="AB18" s="4"/>
      <c r="AC18" s="4"/>
    </row>
    <row r="19" spans="1:32" x14ac:dyDescent="0.25">
      <c r="A19" s="148"/>
      <c r="B19" s="6" t="s">
        <v>408</v>
      </c>
      <c r="C19" s="9">
        <v>70</v>
      </c>
      <c r="D19" s="22">
        <v>3.4</v>
      </c>
      <c r="E19" s="22">
        <v>9</v>
      </c>
      <c r="F19" s="22" t="s">
        <v>34</v>
      </c>
      <c r="G19" s="93">
        <v>6</v>
      </c>
      <c r="H19" s="133">
        <v>115</v>
      </c>
      <c r="I19" s="36">
        <f>M19*0.18+O19*0.46</f>
        <v>105</v>
      </c>
      <c r="J19" s="36">
        <f>M19*0.46</f>
        <v>92</v>
      </c>
      <c r="K19" s="36">
        <v>0</v>
      </c>
      <c r="L19" s="145">
        <f>2.5*0.45+1.5*0.6</f>
        <v>2.0249999999999999</v>
      </c>
      <c r="M19" s="22">
        <v>200</v>
      </c>
      <c r="N19" s="24" t="s">
        <v>394</v>
      </c>
      <c r="O19" s="22">
        <v>150</v>
      </c>
      <c r="P19" s="24" t="s">
        <v>43</v>
      </c>
      <c r="Q19" s="22"/>
      <c r="R19" s="24"/>
      <c r="S19" s="22"/>
      <c r="T19" s="24"/>
      <c r="U19" s="37" t="s">
        <v>52</v>
      </c>
      <c r="V19" s="4" t="s">
        <v>47</v>
      </c>
      <c r="W19" s="4" t="s">
        <v>294</v>
      </c>
      <c r="X19" s="4" t="s">
        <v>59</v>
      </c>
      <c r="Y19" s="4" t="s">
        <v>92</v>
      </c>
      <c r="Z19" s="4" t="s">
        <v>48</v>
      </c>
      <c r="AA19" s="4"/>
      <c r="AB19" s="4"/>
      <c r="AC19" s="4"/>
    </row>
    <row r="20" spans="1:32" x14ac:dyDescent="0.25">
      <c r="A20" s="148"/>
      <c r="B20" s="6" t="s">
        <v>438</v>
      </c>
      <c r="C20" s="9">
        <v>60</v>
      </c>
      <c r="D20" s="22">
        <v>2.8</v>
      </c>
      <c r="E20" s="22">
        <v>9</v>
      </c>
      <c r="F20" s="22" t="s">
        <v>34</v>
      </c>
      <c r="G20" s="93">
        <v>6</v>
      </c>
      <c r="H20" s="133">
        <v>80</v>
      </c>
      <c r="I20" s="36">
        <f>M20*0.18+O20*0.26</f>
        <v>71.400000000000006</v>
      </c>
      <c r="J20" s="36">
        <f>M20*0.46</f>
        <v>82.8</v>
      </c>
      <c r="K20" s="36">
        <v>0</v>
      </c>
      <c r="L20" s="145">
        <f>0.22+0.5</f>
        <v>0.72</v>
      </c>
      <c r="M20" s="22">
        <v>180</v>
      </c>
      <c r="N20" s="24" t="s">
        <v>394</v>
      </c>
      <c r="O20" s="22">
        <v>150</v>
      </c>
      <c r="P20" s="24" t="s">
        <v>439</v>
      </c>
      <c r="Q20" s="22"/>
      <c r="R20" s="24"/>
      <c r="S20" s="22"/>
      <c r="T20" s="24"/>
      <c r="U20" s="37" t="s">
        <v>46</v>
      </c>
      <c r="V20" s="4" t="s">
        <v>44</v>
      </c>
      <c r="W20" s="4" t="s">
        <v>442</v>
      </c>
      <c r="X20" s="4" t="s">
        <v>59</v>
      </c>
      <c r="Y20" s="4" t="s">
        <v>92</v>
      </c>
      <c r="Z20" s="4" t="s">
        <v>441</v>
      </c>
      <c r="AA20" s="4"/>
      <c r="AB20" s="4"/>
      <c r="AC20" s="4"/>
    </row>
    <row r="21" spans="1:32" x14ac:dyDescent="0.25">
      <c r="A21" s="148"/>
      <c r="B21" s="6" t="s">
        <v>2</v>
      </c>
      <c r="C21" s="9">
        <v>350</v>
      </c>
      <c r="D21" s="22">
        <v>2.6</v>
      </c>
      <c r="E21" s="22">
        <v>9</v>
      </c>
      <c r="F21" s="22" t="s">
        <v>34</v>
      </c>
      <c r="G21" s="93">
        <v>6</v>
      </c>
      <c r="H21" s="133">
        <v>90</v>
      </c>
      <c r="I21" s="36">
        <f>M21*0.46</f>
        <v>92</v>
      </c>
      <c r="J21" s="36">
        <v>0</v>
      </c>
      <c r="K21" s="36">
        <v>0</v>
      </c>
      <c r="L21" s="145">
        <f>10*0.005+0.025*0.5</f>
        <v>6.25E-2</v>
      </c>
      <c r="M21" s="22">
        <v>200</v>
      </c>
      <c r="N21" s="24" t="s">
        <v>356</v>
      </c>
      <c r="O21" s="22"/>
      <c r="P21" s="24"/>
      <c r="Q21" s="22"/>
      <c r="R21" s="24"/>
      <c r="S21" s="22"/>
      <c r="T21" s="24"/>
      <c r="U21" s="40" t="s">
        <v>410</v>
      </c>
      <c r="V21" s="6" t="s">
        <v>411</v>
      </c>
      <c r="W21" s="4" t="s">
        <v>298</v>
      </c>
      <c r="X21" s="4" t="s">
        <v>260</v>
      </c>
      <c r="Y21" s="6" t="s">
        <v>443</v>
      </c>
      <c r="Z21" s="206" t="s">
        <v>444</v>
      </c>
      <c r="AA21" s="4"/>
      <c r="AB21" s="4"/>
      <c r="AC21" s="4"/>
    </row>
    <row r="22" spans="1:32" x14ac:dyDescent="0.25">
      <c r="A22" s="148"/>
      <c r="B22" s="6" t="s">
        <v>447</v>
      </c>
      <c r="C22" s="9">
        <v>32</v>
      </c>
      <c r="D22" s="22">
        <v>2.1</v>
      </c>
      <c r="E22" s="114">
        <v>9</v>
      </c>
      <c r="F22" s="22" t="s">
        <v>116</v>
      </c>
      <c r="G22" s="93">
        <v>6</v>
      </c>
      <c r="H22" s="133">
        <f>80.7+14.1+7.7+28.8</f>
        <v>131.30000000000001</v>
      </c>
      <c r="I22" s="36">
        <f>M22*0.18+O22*0.26</f>
        <v>75</v>
      </c>
      <c r="J22" s="36">
        <f>M22*0.46</f>
        <v>92</v>
      </c>
      <c r="K22" s="36">
        <v>0</v>
      </c>
      <c r="L22" s="145">
        <f>0.22</f>
        <v>0.22</v>
      </c>
      <c r="M22" s="22">
        <v>200</v>
      </c>
      <c r="N22" s="24" t="s">
        <v>394</v>
      </c>
      <c r="O22" s="22">
        <v>150</v>
      </c>
      <c r="P22" s="24" t="s">
        <v>307</v>
      </c>
      <c r="Q22" s="22"/>
      <c r="R22" s="24"/>
      <c r="S22" s="22"/>
      <c r="T22" s="24"/>
      <c r="U22" s="40"/>
      <c r="V22" s="4" t="s">
        <v>44</v>
      </c>
      <c r="W22" s="4" t="s">
        <v>440</v>
      </c>
      <c r="X22" s="4"/>
      <c r="Y22" s="6"/>
      <c r="Z22" s="206"/>
      <c r="AA22" s="4"/>
      <c r="AB22" s="4"/>
      <c r="AC22" s="4"/>
    </row>
    <row r="23" spans="1:32" x14ac:dyDescent="0.25">
      <c r="A23" s="148"/>
      <c r="B23" s="6" t="s">
        <v>448</v>
      </c>
      <c r="C23" s="9">
        <v>10</v>
      </c>
      <c r="D23" s="22">
        <v>2.5</v>
      </c>
      <c r="E23" s="114">
        <v>9</v>
      </c>
      <c r="F23" s="22" t="s">
        <v>116</v>
      </c>
      <c r="G23" s="93">
        <v>6</v>
      </c>
      <c r="H23" s="133">
        <f>75.6+14.1+7.7+28.8</f>
        <v>126.19999999999999</v>
      </c>
      <c r="I23" s="36">
        <f>M23*0.18+O23*0.26</f>
        <v>119</v>
      </c>
      <c r="J23" s="36">
        <f>M23*0.46</f>
        <v>138</v>
      </c>
      <c r="K23" s="36">
        <v>0</v>
      </c>
      <c r="L23" s="145">
        <f>0.22+0.6</f>
        <v>0.82</v>
      </c>
      <c r="M23" s="22">
        <v>300</v>
      </c>
      <c r="N23" s="24" t="s">
        <v>394</v>
      </c>
      <c r="O23" s="22">
        <v>250</v>
      </c>
      <c r="P23" s="24" t="s">
        <v>307</v>
      </c>
      <c r="Q23" s="22"/>
      <c r="R23" s="24"/>
      <c r="S23" s="22"/>
      <c r="T23" s="24"/>
      <c r="U23" s="40"/>
      <c r="V23" s="4" t="s">
        <v>44</v>
      </c>
      <c r="W23" s="4" t="s">
        <v>440</v>
      </c>
      <c r="X23" s="6"/>
      <c r="Y23" s="6" t="s">
        <v>449</v>
      </c>
      <c r="Z23" s="206" t="s">
        <v>450</v>
      </c>
      <c r="AA23" s="4"/>
      <c r="AB23" s="4"/>
      <c r="AC23" s="4"/>
    </row>
    <row r="24" spans="1:32" x14ac:dyDescent="0.25">
      <c r="A24" s="209" t="s">
        <v>8</v>
      </c>
      <c r="B24" s="44" t="s">
        <v>9</v>
      </c>
      <c r="C24" s="119">
        <v>20000</v>
      </c>
      <c r="D24" s="120">
        <v>2.2000000000000002</v>
      </c>
      <c r="E24" s="120">
        <v>9</v>
      </c>
      <c r="F24" s="120" t="s">
        <v>34</v>
      </c>
      <c r="G24" s="48">
        <v>6</v>
      </c>
      <c r="H24" s="120">
        <v>140</v>
      </c>
      <c r="I24" s="120">
        <f>M24*0.345</f>
        <v>103.49999999999999</v>
      </c>
      <c r="J24" s="120">
        <f>M24*0.165</f>
        <v>49.5</v>
      </c>
      <c r="K24" s="120">
        <v>0</v>
      </c>
      <c r="L24" s="121">
        <f>1*0.5+1*0.04</f>
        <v>0.54</v>
      </c>
      <c r="M24" s="120">
        <v>300</v>
      </c>
      <c r="N24" s="122" t="s">
        <v>68</v>
      </c>
      <c r="O24" s="120"/>
      <c r="P24" s="120"/>
      <c r="Q24" s="120"/>
      <c r="R24" s="120"/>
      <c r="S24" s="120"/>
      <c r="T24" s="120"/>
      <c r="U24" s="80" t="s">
        <v>69</v>
      </c>
      <c r="V24" s="31" t="s">
        <v>71</v>
      </c>
      <c r="W24" s="31" t="s">
        <v>40</v>
      </c>
      <c r="X24" s="31" t="s">
        <v>70</v>
      </c>
      <c r="Y24" s="31" t="s">
        <v>72</v>
      </c>
      <c r="Z24" s="31" t="s">
        <v>40</v>
      </c>
      <c r="AA24" s="31"/>
      <c r="AB24" s="31"/>
      <c r="AC24" s="31"/>
      <c r="AD24" s="31"/>
    </row>
    <row r="25" spans="1:32" x14ac:dyDescent="0.25">
      <c r="A25" s="3"/>
      <c r="B25" s="6" t="s">
        <v>9</v>
      </c>
      <c r="C25" s="8">
        <v>16800</v>
      </c>
      <c r="D25" s="36">
        <v>2</v>
      </c>
      <c r="E25" s="36">
        <v>9</v>
      </c>
      <c r="F25" s="36" t="s">
        <v>34</v>
      </c>
      <c r="G25" s="49">
        <v>6</v>
      </c>
      <c r="H25" s="36">
        <v>160</v>
      </c>
      <c r="I25" s="36">
        <f>M25*0.18+O25*0.46</f>
        <v>87</v>
      </c>
      <c r="J25" s="36">
        <f>M25*0.46</f>
        <v>46</v>
      </c>
      <c r="K25" s="36">
        <v>0</v>
      </c>
      <c r="L25" s="145">
        <f>1.5*0.96+0.5*0.48+0.05+0.8</f>
        <v>2.5300000000000002</v>
      </c>
      <c r="M25" s="36">
        <v>100</v>
      </c>
      <c r="N25" s="146" t="s">
        <v>50</v>
      </c>
      <c r="O25" s="36">
        <v>150</v>
      </c>
      <c r="P25" s="147">
        <v>1.9166666666666667</v>
      </c>
      <c r="Q25" s="36"/>
      <c r="R25" s="36"/>
      <c r="S25" s="36"/>
      <c r="T25" s="36"/>
      <c r="U25" s="37" t="s">
        <v>257</v>
      </c>
      <c r="V25" s="4" t="s">
        <v>226</v>
      </c>
      <c r="W25" s="4" t="s">
        <v>48</v>
      </c>
      <c r="X25" s="4" t="s">
        <v>258</v>
      </c>
      <c r="Y25" s="4" t="s">
        <v>44</v>
      </c>
      <c r="Z25" s="4" t="s">
        <v>49</v>
      </c>
      <c r="AA25" s="4" t="s">
        <v>259</v>
      </c>
      <c r="AB25" s="4" t="s">
        <v>261</v>
      </c>
      <c r="AC25" s="4" t="s">
        <v>262</v>
      </c>
      <c r="AD25" s="4" t="s">
        <v>263</v>
      </c>
      <c r="AF25" t="s">
        <v>264</v>
      </c>
    </row>
    <row r="26" spans="1:32" x14ac:dyDescent="0.25">
      <c r="A26" s="204"/>
      <c r="B26" s="6" t="s">
        <v>355</v>
      </c>
      <c r="C26" s="8">
        <v>147</v>
      </c>
      <c r="D26" s="36">
        <v>2.33</v>
      </c>
      <c r="E26" s="36">
        <v>11</v>
      </c>
      <c r="F26" s="36" t="s">
        <v>34</v>
      </c>
      <c r="G26" s="49">
        <v>7</v>
      </c>
      <c r="H26" s="36">
        <v>164</v>
      </c>
      <c r="I26" s="36">
        <f>M26*0.46</f>
        <v>117.30000000000001</v>
      </c>
      <c r="J26" s="36">
        <v>0</v>
      </c>
      <c r="K26" s="36">
        <v>0</v>
      </c>
      <c r="L26" s="145">
        <f>2.3*0.36+7*0.075+0.33*0.5+1*0.455</f>
        <v>1.9730000000000001</v>
      </c>
      <c r="M26" s="36">
        <v>255</v>
      </c>
      <c r="N26" s="146" t="s">
        <v>356</v>
      </c>
      <c r="O26" s="36"/>
      <c r="P26" s="147"/>
      <c r="Q26" s="36"/>
      <c r="R26" s="36"/>
      <c r="S26" s="36"/>
      <c r="T26" s="36"/>
      <c r="U26" s="37" t="s">
        <v>357</v>
      </c>
      <c r="V26" t="s">
        <v>178</v>
      </c>
      <c r="W26" s="4" t="s">
        <v>358</v>
      </c>
      <c r="X26" s="4" t="s">
        <v>359</v>
      </c>
      <c r="Y26" s="4" t="s">
        <v>225</v>
      </c>
      <c r="Z26" s="205">
        <v>7</v>
      </c>
      <c r="AA26" s="4" t="s">
        <v>360</v>
      </c>
      <c r="AB26" t="s">
        <v>361</v>
      </c>
      <c r="AC26" s="4" t="s">
        <v>362</v>
      </c>
      <c r="AD26" s="37" t="s">
        <v>81</v>
      </c>
      <c r="AE26" t="s">
        <v>363</v>
      </c>
      <c r="AF26" t="s">
        <v>40</v>
      </c>
    </row>
    <row r="27" spans="1:32" x14ac:dyDescent="0.25">
      <c r="A27" s="204"/>
      <c r="B27" s="6" t="s">
        <v>409</v>
      </c>
      <c r="C27" s="8">
        <v>80</v>
      </c>
      <c r="D27" s="36">
        <v>3.4</v>
      </c>
      <c r="E27" s="36">
        <v>9</v>
      </c>
      <c r="F27" s="36" t="s">
        <v>34</v>
      </c>
      <c r="G27" s="49">
        <v>6</v>
      </c>
      <c r="H27" s="36">
        <v>115</v>
      </c>
      <c r="I27" s="36">
        <f>M27*0.18+O27*0.46</f>
        <v>105</v>
      </c>
      <c r="J27" s="36">
        <f>M27*0.46</f>
        <v>92</v>
      </c>
      <c r="K27" s="36">
        <v>0</v>
      </c>
      <c r="L27" s="145">
        <f>2.5*0.45+1.5*0.6</f>
        <v>2.0249999999999999</v>
      </c>
      <c r="M27" s="22">
        <v>200</v>
      </c>
      <c r="N27" s="24" t="s">
        <v>394</v>
      </c>
      <c r="O27" s="22">
        <v>150</v>
      </c>
      <c r="P27" s="24" t="s">
        <v>43</v>
      </c>
      <c r="Q27" s="36"/>
      <c r="R27" s="36"/>
      <c r="S27" s="36"/>
      <c r="T27" s="36"/>
      <c r="U27" s="37" t="s">
        <v>52</v>
      </c>
      <c r="V27" s="4" t="s">
        <v>47</v>
      </c>
      <c r="W27" s="4" t="s">
        <v>294</v>
      </c>
      <c r="X27" s="4" t="s">
        <v>59</v>
      </c>
      <c r="Y27" s="4" t="s">
        <v>92</v>
      </c>
      <c r="Z27" s="4" t="s">
        <v>48</v>
      </c>
      <c r="AA27" s="4"/>
      <c r="AC27" s="4"/>
      <c r="AD27" s="4"/>
    </row>
    <row r="28" spans="1:32" x14ac:dyDescent="0.25">
      <c r="A28" s="210" t="s">
        <v>15</v>
      </c>
      <c r="B28" s="26" t="s">
        <v>29</v>
      </c>
      <c r="C28" s="27">
        <v>1200</v>
      </c>
      <c r="D28" s="28">
        <v>3</v>
      </c>
      <c r="E28" s="28">
        <v>9</v>
      </c>
      <c r="F28" s="28" t="s">
        <v>34</v>
      </c>
      <c r="G28" s="29">
        <v>6.6</v>
      </c>
      <c r="H28" s="29" t="s">
        <v>17</v>
      </c>
      <c r="I28" s="28">
        <f>M28*0.46</f>
        <v>69</v>
      </c>
      <c r="J28" s="28">
        <v>0</v>
      </c>
      <c r="K28" s="28">
        <v>0</v>
      </c>
      <c r="L28" s="73">
        <f>3*0.365+2*0.6+1.2*0.1</f>
        <v>2.415</v>
      </c>
      <c r="M28" s="28">
        <v>150</v>
      </c>
      <c r="N28" s="66">
        <v>1.9166666666666667</v>
      </c>
      <c r="O28" s="28"/>
      <c r="P28" s="28"/>
      <c r="Q28" s="28"/>
      <c r="R28" s="28"/>
      <c r="S28" s="28"/>
      <c r="T28" s="28"/>
      <c r="U28" s="39" t="s">
        <v>142</v>
      </c>
      <c r="V28" s="30" t="s">
        <v>196</v>
      </c>
      <c r="W28" s="30" t="s">
        <v>179</v>
      </c>
      <c r="X28" s="30" t="s">
        <v>197</v>
      </c>
      <c r="Y28" s="30" t="s">
        <v>198</v>
      </c>
      <c r="Z28" s="30" t="s">
        <v>89</v>
      </c>
      <c r="AA28" s="30" t="s">
        <v>199</v>
      </c>
      <c r="AB28" s="30" t="s">
        <v>153</v>
      </c>
      <c r="AC28" s="30" t="s">
        <v>140</v>
      </c>
      <c r="AD28" s="30"/>
    </row>
    <row r="29" spans="1:32" x14ac:dyDescent="0.25">
      <c r="A29" s="211" t="s">
        <v>270</v>
      </c>
      <c r="B29" s="44" t="s">
        <v>12</v>
      </c>
      <c r="C29" s="119">
        <v>800</v>
      </c>
      <c r="D29" s="120">
        <v>2.7</v>
      </c>
      <c r="E29" s="120">
        <v>15.5</v>
      </c>
      <c r="F29" s="120" t="s">
        <v>34</v>
      </c>
      <c r="G29" s="48">
        <v>6</v>
      </c>
      <c r="H29" s="202">
        <v>110</v>
      </c>
      <c r="I29" s="120">
        <f>M29*0.11+O29*0.46</f>
        <v>65.25</v>
      </c>
      <c r="J29" s="120">
        <f>M29*0.25</f>
        <v>43.75</v>
      </c>
      <c r="K29" s="120">
        <v>0</v>
      </c>
      <c r="L29" s="121">
        <f>0.3*0.5+2*0.33</f>
        <v>0.81</v>
      </c>
      <c r="M29" s="120">
        <v>175</v>
      </c>
      <c r="N29" s="122" t="s">
        <v>85</v>
      </c>
      <c r="O29" s="120">
        <v>100</v>
      </c>
      <c r="P29" s="122" t="s">
        <v>43</v>
      </c>
      <c r="Q29" s="120"/>
      <c r="R29" s="122"/>
      <c r="S29" s="120"/>
      <c r="T29" s="122"/>
      <c r="U29" s="80" t="s">
        <v>86</v>
      </c>
      <c r="V29" s="31" t="s">
        <v>58</v>
      </c>
      <c r="W29" s="31" t="s">
        <v>87</v>
      </c>
      <c r="X29" s="31" t="s">
        <v>88</v>
      </c>
      <c r="Y29" s="31" t="s">
        <v>82</v>
      </c>
      <c r="Z29" s="31" t="s">
        <v>89</v>
      </c>
      <c r="AA29" s="31"/>
      <c r="AB29" s="31"/>
      <c r="AC29" s="31"/>
      <c r="AD29" s="31"/>
    </row>
    <row r="30" spans="1:32" x14ac:dyDescent="0.25">
      <c r="A30" s="4"/>
      <c r="B30" s="6" t="s">
        <v>399</v>
      </c>
      <c r="C30" s="8">
        <v>53</v>
      </c>
      <c r="D30" s="36">
        <v>3.5</v>
      </c>
      <c r="E30" s="36">
        <v>9</v>
      </c>
      <c r="F30" s="36" t="s">
        <v>34</v>
      </c>
      <c r="G30" s="49">
        <v>6</v>
      </c>
      <c r="H30" s="201">
        <v>115</v>
      </c>
      <c r="I30" s="36">
        <f>M30*0.18+O30*0.46</f>
        <v>105</v>
      </c>
      <c r="J30" s="36">
        <f>M30*0.46</f>
        <v>92</v>
      </c>
      <c r="K30" s="36">
        <v>0</v>
      </c>
      <c r="L30" s="145">
        <f>2.5*0.45+1.5*0.6</f>
        <v>2.0249999999999999</v>
      </c>
      <c r="M30" s="22">
        <v>200</v>
      </c>
      <c r="N30" s="24" t="s">
        <v>394</v>
      </c>
      <c r="O30" s="22">
        <v>150</v>
      </c>
      <c r="P30" s="24" t="s">
        <v>43</v>
      </c>
      <c r="Q30" s="36"/>
      <c r="R30" s="146"/>
      <c r="S30" s="36"/>
      <c r="T30" s="146"/>
      <c r="U30" s="37" t="s">
        <v>52</v>
      </c>
      <c r="V30" t="s">
        <v>47</v>
      </c>
      <c r="W30" t="s">
        <v>294</v>
      </c>
      <c r="X30" s="4" t="s">
        <v>59</v>
      </c>
      <c r="Y30" s="4" t="s">
        <v>92</v>
      </c>
      <c r="Z30" s="4" t="s">
        <v>48</v>
      </c>
      <c r="AA30" s="4"/>
      <c r="AB30" s="4"/>
      <c r="AC30" s="4"/>
      <c r="AD30" s="4"/>
    </row>
    <row r="31" spans="1:32" x14ac:dyDescent="0.25">
      <c r="A31" s="4"/>
      <c r="B31" s="6" t="s">
        <v>12</v>
      </c>
      <c r="C31" s="8">
        <v>700</v>
      </c>
      <c r="D31" s="36">
        <v>2.8</v>
      </c>
      <c r="E31" s="36">
        <v>8.5</v>
      </c>
      <c r="F31" s="36" t="s">
        <v>34</v>
      </c>
      <c r="G31" s="49">
        <v>6</v>
      </c>
      <c r="H31" s="201">
        <v>100</v>
      </c>
      <c r="I31" s="36">
        <f>O31*0.46</f>
        <v>92</v>
      </c>
      <c r="J31" s="36">
        <f>M31*0.46</f>
        <v>46</v>
      </c>
      <c r="K31" s="36">
        <v>0</v>
      </c>
      <c r="L31" s="145">
        <f>10*0.005+0.02*0.5</f>
        <v>6.0000000000000005E-2</v>
      </c>
      <c r="M31" s="22">
        <v>100</v>
      </c>
      <c r="N31" s="24" t="s">
        <v>445</v>
      </c>
      <c r="O31" s="22">
        <v>200</v>
      </c>
      <c r="P31" s="24" t="s">
        <v>356</v>
      </c>
      <c r="Q31" s="36"/>
      <c r="R31" s="146"/>
      <c r="S31" s="36"/>
      <c r="T31" s="146"/>
      <c r="U31" s="40" t="s">
        <v>410</v>
      </c>
      <c r="V31" s="6" t="s">
        <v>411</v>
      </c>
      <c r="W31" s="4" t="s">
        <v>298</v>
      </c>
      <c r="X31" s="4" t="s">
        <v>260</v>
      </c>
      <c r="Y31" s="6" t="s">
        <v>443</v>
      </c>
      <c r="Z31" s="206" t="s">
        <v>446</v>
      </c>
      <c r="AA31" s="4"/>
      <c r="AB31" s="4"/>
      <c r="AC31" s="4"/>
      <c r="AD31" s="4"/>
    </row>
    <row r="32" spans="1:32" x14ac:dyDescent="0.25">
      <c r="A32" s="217" t="s">
        <v>291</v>
      </c>
      <c r="B32" s="44" t="s">
        <v>292</v>
      </c>
      <c r="C32" s="119">
        <v>250</v>
      </c>
      <c r="D32" s="120">
        <v>3.2</v>
      </c>
      <c r="E32" s="120">
        <v>10</v>
      </c>
      <c r="F32" s="120" t="s">
        <v>34</v>
      </c>
      <c r="G32" s="48">
        <v>6</v>
      </c>
      <c r="H32" s="202">
        <v>100</v>
      </c>
      <c r="I32" s="120">
        <f>M32*0.18+O32*0.46</f>
        <v>96</v>
      </c>
      <c r="J32" s="120">
        <f>M32*0.46</f>
        <v>69</v>
      </c>
      <c r="K32" s="120">
        <v>0</v>
      </c>
      <c r="L32" s="121">
        <f>2.5*0.455+1.5*0.196+10*0.075</f>
        <v>2.1814999999999998</v>
      </c>
      <c r="M32" s="120">
        <v>150</v>
      </c>
      <c r="N32" s="122" t="s">
        <v>50</v>
      </c>
      <c r="O32" s="120">
        <v>150</v>
      </c>
      <c r="P32" s="122" t="s">
        <v>43</v>
      </c>
      <c r="Q32" s="120"/>
      <c r="R32" s="122"/>
      <c r="S32" s="120"/>
      <c r="T32" s="122"/>
      <c r="U32" s="43" t="s">
        <v>203</v>
      </c>
      <c r="V32" s="31" t="s">
        <v>299</v>
      </c>
      <c r="W32" s="44" t="s">
        <v>294</v>
      </c>
      <c r="X32" s="44" t="s">
        <v>295</v>
      </c>
      <c r="Y32" s="31" t="s">
        <v>296</v>
      </c>
      <c r="Z32" s="31" t="s">
        <v>48</v>
      </c>
      <c r="AA32" s="31" t="s">
        <v>297</v>
      </c>
      <c r="AB32" s="31" t="s">
        <v>78</v>
      </c>
      <c r="AC32" s="31" t="s">
        <v>298</v>
      </c>
      <c r="AD32" s="31"/>
      <c r="AE32" s="31"/>
    </row>
    <row r="33" spans="1:30" x14ac:dyDescent="0.25">
      <c r="A33" s="6"/>
      <c r="B33" s="6" t="s">
        <v>293</v>
      </c>
      <c r="C33" s="8">
        <v>100</v>
      </c>
      <c r="D33" s="22">
        <v>2.4</v>
      </c>
      <c r="E33" s="22">
        <v>10</v>
      </c>
      <c r="F33" s="22" t="s">
        <v>34</v>
      </c>
      <c r="G33" s="25">
        <v>6</v>
      </c>
      <c r="H33" s="133">
        <v>85</v>
      </c>
      <c r="I33" s="22">
        <f>M33*0.18+O33*0.46</f>
        <v>114.80000000000001</v>
      </c>
      <c r="J33" s="133">
        <f>M33*0.46</f>
        <v>128.80000000000001</v>
      </c>
      <c r="K33" s="22">
        <v>0</v>
      </c>
      <c r="L33" s="72">
        <f>1*0.48</f>
        <v>0.48</v>
      </c>
      <c r="M33" s="22">
        <v>280</v>
      </c>
      <c r="N33" s="24" t="s">
        <v>50</v>
      </c>
      <c r="O33" s="22">
        <v>140</v>
      </c>
      <c r="P33" s="24" t="s">
        <v>43</v>
      </c>
      <c r="Q33" s="22"/>
      <c r="R33" s="24"/>
      <c r="S33" s="22"/>
      <c r="T33" s="24"/>
      <c r="U33" s="37"/>
      <c r="V33" s="4" t="s">
        <v>44</v>
      </c>
      <c r="W33" s="6" t="s">
        <v>40</v>
      </c>
    </row>
    <row r="34" spans="1:30" x14ac:dyDescent="0.25">
      <c r="A34" s="13"/>
      <c r="B34" s="6" t="s">
        <v>292</v>
      </c>
      <c r="C34" s="8">
        <v>50</v>
      </c>
      <c r="D34" s="22">
        <v>2.2000000000000002</v>
      </c>
      <c r="E34" s="22">
        <v>10</v>
      </c>
      <c r="F34" s="22" t="s">
        <v>34</v>
      </c>
      <c r="G34" s="25">
        <v>6</v>
      </c>
      <c r="H34" s="133">
        <v>130</v>
      </c>
      <c r="I34" s="22">
        <f>M34*0.18+O34*0.46</f>
        <v>105</v>
      </c>
      <c r="J34" s="22">
        <f>M34*0.46</f>
        <v>92</v>
      </c>
      <c r="K34" s="22">
        <v>0</v>
      </c>
      <c r="L34" s="88">
        <f>2.7*0.455+0.7*0.376+8.3*0.005</f>
        <v>1.5332000000000003</v>
      </c>
      <c r="M34" s="22">
        <v>200</v>
      </c>
      <c r="N34" s="24" t="s">
        <v>50</v>
      </c>
      <c r="O34" s="22">
        <v>150</v>
      </c>
      <c r="P34" s="24" t="s">
        <v>43</v>
      </c>
      <c r="Q34" s="22"/>
      <c r="R34" s="22"/>
      <c r="S34" s="22"/>
      <c r="T34" s="22"/>
      <c r="U34" s="40" t="s">
        <v>203</v>
      </c>
      <c r="V34" t="s">
        <v>299</v>
      </c>
      <c r="W34" s="6" t="s">
        <v>300</v>
      </c>
      <c r="X34" s="6" t="s">
        <v>301</v>
      </c>
      <c r="Y34" s="6" t="s">
        <v>124</v>
      </c>
      <c r="Z34" s="6" t="s">
        <v>151</v>
      </c>
      <c r="AA34" s="6" t="s">
        <v>302</v>
      </c>
      <c r="AB34" s="6" t="s">
        <v>303</v>
      </c>
      <c r="AC34" s="6" t="s">
        <v>304</v>
      </c>
    </row>
    <row r="35" spans="1:30" x14ac:dyDescent="0.25">
      <c r="A35" s="13"/>
      <c r="B35" s="6" t="s">
        <v>371</v>
      </c>
      <c r="C35" s="212" t="s">
        <v>372</v>
      </c>
      <c r="D35" s="22">
        <v>2.5</v>
      </c>
      <c r="E35" s="22">
        <v>10</v>
      </c>
      <c r="F35" s="22" t="s">
        <v>34</v>
      </c>
      <c r="G35" s="97">
        <f>60000/65000*6</f>
        <v>5.5384615384615383</v>
      </c>
      <c r="H35" s="133">
        <v>100</v>
      </c>
      <c r="I35" s="22">
        <f>M35*0.35</f>
        <v>35</v>
      </c>
      <c r="J35" s="22">
        <v>0</v>
      </c>
      <c r="K35" s="22">
        <v>0</v>
      </c>
      <c r="L35" s="88">
        <f>0.25*0.48+0.75*0.96</f>
        <v>0.84</v>
      </c>
      <c r="M35" s="22">
        <v>100</v>
      </c>
      <c r="N35" s="24" t="s">
        <v>373</v>
      </c>
      <c r="O35" s="22"/>
      <c r="P35" s="24"/>
      <c r="Q35" s="22"/>
      <c r="R35" s="22"/>
      <c r="S35" s="22"/>
      <c r="T35" s="22"/>
      <c r="U35" s="37" t="s">
        <v>46</v>
      </c>
      <c r="V35" s="4" t="s">
        <v>44</v>
      </c>
      <c r="W35" s="6" t="s">
        <v>66</v>
      </c>
      <c r="X35" s="6" t="s">
        <v>37</v>
      </c>
      <c r="Y35" s="4" t="s">
        <v>226</v>
      </c>
      <c r="Z35" s="6" t="s">
        <v>61</v>
      </c>
      <c r="AA35" s="6"/>
      <c r="AB35" s="6"/>
      <c r="AC35" s="6"/>
    </row>
    <row r="36" spans="1:30" x14ac:dyDescent="0.25">
      <c r="A36" s="13"/>
      <c r="B36" s="6" t="s">
        <v>292</v>
      </c>
      <c r="C36" s="212" t="s">
        <v>374</v>
      </c>
      <c r="D36" s="22">
        <v>2.7</v>
      </c>
      <c r="E36" s="22">
        <v>8</v>
      </c>
      <c r="F36" s="22" t="s">
        <v>34</v>
      </c>
      <c r="G36" s="32">
        <f>65000/65000*6</f>
        <v>6</v>
      </c>
      <c r="H36" s="133">
        <v>80</v>
      </c>
      <c r="I36" s="22">
        <f>M36*0.34</f>
        <v>34</v>
      </c>
      <c r="J36" s="22">
        <f>M36*0.16</f>
        <v>16</v>
      </c>
      <c r="K36" s="22">
        <v>0</v>
      </c>
      <c r="L36" s="88">
        <f>0.3*0.48+0.75*0.96</f>
        <v>0.86399999999999999</v>
      </c>
      <c r="M36" s="22">
        <v>100</v>
      </c>
      <c r="N36" s="24" t="s">
        <v>375</v>
      </c>
      <c r="O36" s="22"/>
      <c r="P36" s="24"/>
      <c r="Q36" s="22"/>
      <c r="R36" s="22"/>
      <c r="S36" s="22"/>
      <c r="T36" s="22"/>
      <c r="U36" s="37" t="s">
        <v>376</v>
      </c>
      <c r="V36" s="4" t="s">
        <v>44</v>
      </c>
      <c r="W36" s="6" t="s">
        <v>87</v>
      </c>
      <c r="X36" s="6" t="s">
        <v>37</v>
      </c>
      <c r="Y36" s="4" t="s">
        <v>226</v>
      </c>
      <c r="Z36" s="6" t="s">
        <v>61</v>
      </c>
      <c r="AA36" s="6"/>
      <c r="AB36" s="6"/>
      <c r="AC36" s="6"/>
    </row>
    <row r="37" spans="1:30" x14ac:dyDescent="0.25">
      <c r="A37" s="13"/>
      <c r="B37" s="6" t="s">
        <v>293</v>
      </c>
      <c r="C37" s="212" t="s">
        <v>377</v>
      </c>
      <c r="D37" s="22">
        <v>2.5</v>
      </c>
      <c r="E37" s="22">
        <v>9</v>
      </c>
      <c r="F37" s="22" t="s">
        <v>34</v>
      </c>
      <c r="G37" s="32">
        <v>6</v>
      </c>
      <c r="H37" s="133">
        <f>70/0.85</f>
        <v>82.352941176470594</v>
      </c>
      <c r="I37" s="22">
        <f>M37*0.2</f>
        <v>60</v>
      </c>
      <c r="J37" s="22">
        <f>M37*0.1</f>
        <v>30</v>
      </c>
      <c r="K37" s="22">
        <f>M37*0.1</f>
        <v>30</v>
      </c>
      <c r="L37" s="88">
        <f>0.35*0.48+0.75*0.96</f>
        <v>0.8879999999999999</v>
      </c>
      <c r="M37" s="22">
        <v>300</v>
      </c>
      <c r="N37" s="24" t="s">
        <v>311</v>
      </c>
      <c r="O37" s="22"/>
      <c r="P37" s="24"/>
      <c r="Q37" s="22"/>
      <c r="R37" s="22"/>
      <c r="S37" s="22"/>
      <c r="T37" s="22"/>
      <c r="U37" s="37" t="s">
        <v>378</v>
      </c>
      <c r="V37" s="4" t="s">
        <v>44</v>
      </c>
      <c r="W37" s="6" t="s">
        <v>379</v>
      </c>
      <c r="X37" s="6" t="s">
        <v>37</v>
      </c>
      <c r="Y37" s="4" t="s">
        <v>226</v>
      </c>
      <c r="Z37" s="6" t="s">
        <v>61</v>
      </c>
      <c r="AA37" s="6"/>
      <c r="AB37" s="6"/>
      <c r="AC37" s="6"/>
    </row>
    <row r="38" spans="1:30" x14ac:dyDescent="0.25">
      <c r="A38" s="6"/>
      <c r="B38" s="6" t="s">
        <v>380</v>
      </c>
      <c r="C38" s="212" t="s">
        <v>381</v>
      </c>
      <c r="D38" s="36">
        <v>2.7</v>
      </c>
      <c r="E38" s="36">
        <v>9</v>
      </c>
      <c r="F38" s="36" t="s">
        <v>34</v>
      </c>
      <c r="G38" s="34">
        <v>6</v>
      </c>
      <c r="H38" s="201">
        <f>70/0.85</f>
        <v>82.352941176470594</v>
      </c>
      <c r="I38" s="36">
        <f>M38*0.25+O38*0.46</f>
        <v>83.5</v>
      </c>
      <c r="J38" s="36">
        <f>M38*0.1</f>
        <v>15</v>
      </c>
      <c r="K38" s="36">
        <v>0</v>
      </c>
      <c r="L38" s="96">
        <f>0.25*0.48+1*0.96</f>
        <v>1.08</v>
      </c>
      <c r="M38" s="36">
        <v>150</v>
      </c>
      <c r="N38" s="146" t="s">
        <v>382</v>
      </c>
      <c r="O38" s="36">
        <v>100</v>
      </c>
      <c r="P38" s="146" t="s">
        <v>356</v>
      </c>
      <c r="Q38" s="36"/>
      <c r="R38" s="36"/>
      <c r="S38" s="36"/>
      <c r="T38" s="36"/>
      <c r="U38" s="37" t="s">
        <v>383</v>
      </c>
      <c r="V38" s="4" t="s">
        <v>44</v>
      </c>
      <c r="W38" s="6" t="s">
        <v>66</v>
      </c>
      <c r="X38" s="6" t="s">
        <v>37</v>
      </c>
      <c r="Y38" s="4" t="s">
        <v>226</v>
      </c>
      <c r="Z38" s="6" t="s">
        <v>40</v>
      </c>
      <c r="AA38" s="6"/>
      <c r="AB38" s="6"/>
      <c r="AC38" s="6"/>
      <c r="AD38" s="4"/>
    </row>
    <row r="39" spans="1:30" x14ac:dyDescent="0.25">
      <c r="A39" s="6"/>
      <c r="B39" s="6" t="s">
        <v>292</v>
      </c>
      <c r="C39" s="77">
        <v>482</v>
      </c>
      <c r="D39" s="36">
        <v>3.5</v>
      </c>
      <c r="E39" s="36">
        <v>9</v>
      </c>
      <c r="F39" s="36" t="s">
        <v>34</v>
      </c>
      <c r="G39" s="34">
        <v>6</v>
      </c>
      <c r="H39" s="201">
        <v>115</v>
      </c>
      <c r="I39" s="36">
        <f>M39*0.08+O39*0.46</f>
        <v>113</v>
      </c>
      <c r="J39" s="36">
        <f>M39*0.04</f>
        <v>22</v>
      </c>
      <c r="K39" s="36">
        <f>M39*0.04</f>
        <v>22</v>
      </c>
      <c r="L39" s="145">
        <f t="shared" ref="L39:L49" si="0">2.5*0.45+1.5*0.6</f>
        <v>2.0249999999999999</v>
      </c>
      <c r="M39" s="36">
        <v>550</v>
      </c>
      <c r="N39" s="146" t="s">
        <v>400</v>
      </c>
      <c r="O39" s="36">
        <v>150</v>
      </c>
      <c r="P39" s="146" t="s">
        <v>356</v>
      </c>
      <c r="Q39" s="36"/>
      <c r="R39" s="36"/>
      <c r="S39" s="36"/>
      <c r="T39" s="36"/>
      <c r="U39" s="37" t="s">
        <v>52</v>
      </c>
      <c r="V39" t="s">
        <v>47</v>
      </c>
      <c r="W39" t="s">
        <v>294</v>
      </c>
      <c r="X39" s="4" t="s">
        <v>59</v>
      </c>
      <c r="Y39" s="4" t="s">
        <v>92</v>
      </c>
      <c r="Z39" s="4" t="s">
        <v>48</v>
      </c>
      <c r="AA39" s="6"/>
      <c r="AB39" s="6"/>
      <c r="AC39" s="6"/>
      <c r="AD39" s="4"/>
    </row>
    <row r="40" spans="1:30" x14ac:dyDescent="0.25">
      <c r="A40" s="6"/>
      <c r="B40" s="6" t="s">
        <v>380</v>
      </c>
      <c r="C40" s="77">
        <v>19</v>
      </c>
      <c r="D40" s="36">
        <v>3.5</v>
      </c>
      <c r="E40" s="36">
        <v>9</v>
      </c>
      <c r="F40" s="36" t="s">
        <v>34</v>
      </c>
      <c r="G40" s="34">
        <v>6</v>
      </c>
      <c r="H40" s="201">
        <v>115</v>
      </c>
      <c r="I40" s="36">
        <f>M40*0.08+O40*0.46</f>
        <v>113</v>
      </c>
      <c r="J40" s="36">
        <f>M40*0.04</f>
        <v>22</v>
      </c>
      <c r="K40" s="36">
        <f>M40*0.04</f>
        <v>22</v>
      </c>
      <c r="L40" s="145">
        <f t="shared" si="0"/>
        <v>2.0249999999999999</v>
      </c>
      <c r="M40" s="36">
        <v>550</v>
      </c>
      <c r="N40" s="146" t="s">
        <v>400</v>
      </c>
      <c r="O40" s="36">
        <v>150</v>
      </c>
      <c r="P40" s="146" t="s">
        <v>356</v>
      </c>
      <c r="Q40" s="36"/>
      <c r="R40" s="36"/>
      <c r="S40" s="36"/>
      <c r="T40" s="36"/>
      <c r="U40" s="37" t="s">
        <v>52</v>
      </c>
      <c r="V40" t="s">
        <v>47</v>
      </c>
      <c r="W40" t="s">
        <v>294</v>
      </c>
      <c r="X40" s="4" t="s">
        <v>59</v>
      </c>
      <c r="Y40" s="4" t="s">
        <v>92</v>
      </c>
      <c r="Z40" s="4" t="s">
        <v>48</v>
      </c>
      <c r="AA40" s="6"/>
      <c r="AB40" s="6"/>
      <c r="AC40" s="6"/>
      <c r="AD40" s="4"/>
    </row>
    <row r="41" spans="1:30" x14ac:dyDescent="0.25">
      <c r="A41" s="6"/>
      <c r="B41" s="6" t="s">
        <v>293</v>
      </c>
      <c r="C41" s="77">
        <v>80</v>
      </c>
      <c r="D41" s="36">
        <v>3.5</v>
      </c>
      <c r="E41" s="36">
        <v>9</v>
      </c>
      <c r="F41" s="36" t="s">
        <v>34</v>
      </c>
      <c r="G41" s="34">
        <v>6</v>
      </c>
      <c r="H41" s="201">
        <v>115</v>
      </c>
      <c r="I41" s="36">
        <f>M41*0.08+O41*0.46</f>
        <v>113</v>
      </c>
      <c r="J41" s="36">
        <f>M41*0.04</f>
        <v>22</v>
      </c>
      <c r="K41" s="36">
        <f>M41*0.04</f>
        <v>22</v>
      </c>
      <c r="L41" s="145">
        <f t="shared" si="0"/>
        <v>2.0249999999999999</v>
      </c>
      <c r="M41" s="36">
        <v>550</v>
      </c>
      <c r="N41" s="146" t="s">
        <v>400</v>
      </c>
      <c r="O41" s="36">
        <v>150</v>
      </c>
      <c r="P41" s="146" t="s">
        <v>356</v>
      </c>
      <c r="Q41" s="36"/>
      <c r="R41" s="36"/>
      <c r="S41" s="36"/>
      <c r="T41" s="36"/>
      <c r="U41" s="37" t="s">
        <v>52</v>
      </c>
      <c r="V41" t="s">
        <v>47</v>
      </c>
      <c r="W41" t="s">
        <v>294</v>
      </c>
      <c r="X41" s="4" t="s">
        <v>59</v>
      </c>
      <c r="Y41" s="4" t="s">
        <v>92</v>
      </c>
      <c r="Z41" s="4" t="s">
        <v>48</v>
      </c>
      <c r="AA41" s="6"/>
      <c r="AB41" s="6"/>
      <c r="AC41" s="6"/>
      <c r="AD41" s="4"/>
    </row>
    <row r="42" spans="1:30" x14ac:dyDescent="0.25">
      <c r="A42" s="6"/>
      <c r="B42" s="6" t="s">
        <v>401</v>
      </c>
      <c r="C42" s="77">
        <v>103</v>
      </c>
      <c r="D42" s="36">
        <v>3.5</v>
      </c>
      <c r="E42" s="36">
        <v>9</v>
      </c>
      <c r="F42" s="36" t="s">
        <v>34</v>
      </c>
      <c r="G42" s="34">
        <v>6</v>
      </c>
      <c r="H42" s="201">
        <v>115</v>
      </c>
      <c r="I42" s="36">
        <f>M42*0.08+O42*0.46</f>
        <v>113</v>
      </c>
      <c r="J42" s="36">
        <f>M42*0.04</f>
        <v>22</v>
      </c>
      <c r="K42" s="36">
        <f>M42*0.04</f>
        <v>22</v>
      </c>
      <c r="L42" s="145">
        <f t="shared" si="0"/>
        <v>2.0249999999999999</v>
      </c>
      <c r="M42" s="36">
        <v>550</v>
      </c>
      <c r="N42" s="146" t="s">
        <v>400</v>
      </c>
      <c r="O42" s="36">
        <v>150</v>
      </c>
      <c r="P42" s="146" t="s">
        <v>356</v>
      </c>
      <c r="Q42" s="36"/>
      <c r="R42" s="36"/>
      <c r="S42" s="36"/>
      <c r="T42" s="36"/>
      <c r="U42" s="37" t="s">
        <v>52</v>
      </c>
      <c r="V42" t="s">
        <v>47</v>
      </c>
      <c r="W42" t="s">
        <v>294</v>
      </c>
      <c r="X42" s="4" t="s">
        <v>59</v>
      </c>
      <c r="Y42" s="4" t="s">
        <v>92</v>
      </c>
      <c r="Z42" s="4" t="s">
        <v>48</v>
      </c>
      <c r="AA42" s="6"/>
      <c r="AB42" s="6"/>
      <c r="AC42" s="6"/>
      <c r="AD42" s="4"/>
    </row>
    <row r="43" spans="1:30" x14ac:dyDescent="0.25">
      <c r="A43" s="217" t="s">
        <v>316</v>
      </c>
      <c r="B43" s="44" t="s">
        <v>393</v>
      </c>
      <c r="C43" s="248">
        <v>171</v>
      </c>
      <c r="D43" s="120">
        <v>3.3</v>
      </c>
      <c r="E43" s="120">
        <v>9</v>
      </c>
      <c r="F43" s="120" t="s">
        <v>34</v>
      </c>
      <c r="G43" s="41">
        <v>6</v>
      </c>
      <c r="H43" s="202">
        <v>115</v>
      </c>
      <c r="I43" s="120">
        <f t="shared" ref="I43:I49" si="1">M43*0.18+O43*0.46</f>
        <v>105</v>
      </c>
      <c r="J43" s="120">
        <f t="shared" ref="J43:J49" si="2">M43*0.46</f>
        <v>92</v>
      </c>
      <c r="K43" s="120">
        <v>0</v>
      </c>
      <c r="L43" s="85">
        <f t="shared" si="0"/>
        <v>2.0249999999999999</v>
      </c>
      <c r="M43" s="120">
        <v>200</v>
      </c>
      <c r="N43" s="122" t="s">
        <v>394</v>
      </c>
      <c r="O43" s="120">
        <v>150</v>
      </c>
      <c r="P43" s="122" t="s">
        <v>43</v>
      </c>
      <c r="Q43" s="120"/>
      <c r="R43" s="120"/>
      <c r="S43" s="120"/>
      <c r="T43" s="216"/>
      <c r="U43" s="31" t="s">
        <v>52</v>
      </c>
      <c r="V43" s="31" t="s">
        <v>47</v>
      </c>
      <c r="W43" s="31" t="s">
        <v>294</v>
      </c>
      <c r="X43" s="31" t="s">
        <v>59</v>
      </c>
      <c r="Y43" s="31" t="s">
        <v>92</v>
      </c>
      <c r="Z43" s="31" t="s">
        <v>48</v>
      </c>
      <c r="AA43" s="44"/>
      <c r="AB43" s="44"/>
      <c r="AC43" s="6"/>
    </row>
    <row r="44" spans="1:30" x14ac:dyDescent="0.25">
      <c r="A44" s="13"/>
      <c r="B44" s="6" t="s">
        <v>395</v>
      </c>
      <c r="C44" s="77">
        <v>25</v>
      </c>
      <c r="D44" s="22">
        <v>3.1</v>
      </c>
      <c r="E44" s="22">
        <v>9</v>
      </c>
      <c r="F44" s="22" t="s">
        <v>34</v>
      </c>
      <c r="G44" s="32">
        <v>6</v>
      </c>
      <c r="H44" s="133">
        <v>115</v>
      </c>
      <c r="I44" s="22">
        <f t="shared" si="1"/>
        <v>105</v>
      </c>
      <c r="J44" s="22">
        <f t="shared" si="2"/>
        <v>92</v>
      </c>
      <c r="K44" s="22">
        <v>0</v>
      </c>
      <c r="L44" s="88">
        <f t="shared" si="0"/>
        <v>2.0249999999999999</v>
      </c>
      <c r="M44" s="22">
        <v>200</v>
      </c>
      <c r="N44" s="24" t="s">
        <v>394</v>
      </c>
      <c r="O44" s="22">
        <v>150</v>
      </c>
      <c r="P44" s="24" t="s">
        <v>43</v>
      </c>
      <c r="Q44" s="22"/>
      <c r="R44" s="22"/>
      <c r="S44" s="22"/>
      <c r="T44" s="200"/>
      <c r="U44" s="4" t="s">
        <v>52</v>
      </c>
      <c r="V44" t="s">
        <v>47</v>
      </c>
      <c r="W44" t="s">
        <v>294</v>
      </c>
      <c r="X44" s="4" t="s">
        <v>59</v>
      </c>
      <c r="Y44" s="4" t="s">
        <v>92</v>
      </c>
      <c r="Z44" s="4" t="s">
        <v>48</v>
      </c>
      <c r="AA44" s="6"/>
      <c r="AB44" s="6"/>
      <c r="AC44" s="6"/>
    </row>
    <row r="45" spans="1:30" x14ac:dyDescent="0.25">
      <c r="A45" s="13"/>
      <c r="B45" s="6" t="s">
        <v>396</v>
      </c>
      <c r="C45" s="77">
        <v>27</v>
      </c>
      <c r="D45" s="22">
        <v>3.5</v>
      </c>
      <c r="E45" s="22">
        <v>9</v>
      </c>
      <c r="F45" s="22" t="s">
        <v>34</v>
      </c>
      <c r="G45" s="32">
        <v>6</v>
      </c>
      <c r="H45" s="133">
        <v>115</v>
      </c>
      <c r="I45" s="22">
        <f t="shared" si="1"/>
        <v>105</v>
      </c>
      <c r="J45" s="22">
        <f t="shared" si="2"/>
        <v>92</v>
      </c>
      <c r="K45" s="22">
        <v>0</v>
      </c>
      <c r="L45" s="88">
        <f t="shared" si="0"/>
        <v>2.0249999999999999</v>
      </c>
      <c r="M45" s="22">
        <v>200</v>
      </c>
      <c r="N45" s="24" t="s">
        <v>394</v>
      </c>
      <c r="O45" s="22">
        <v>150</v>
      </c>
      <c r="P45" s="24" t="s">
        <v>43</v>
      </c>
      <c r="Q45" s="22"/>
      <c r="R45" s="22"/>
      <c r="S45" s="22"/>
      <c r="T45" s="200"/>
      <c r="U45" s="4" t="s">
        <v>52</v>
      </c>
      <c r="V45" t="s">
        <v>47</v>
      </c>
      <c r="W45" t="s">
        <v>294</v>
      </c>
      <c r="X45" s="4" t="s">
        <v>59</v>
      </c>
      <c r="Y45" s="4" t="s">
        <v>92</v>
      </c>
      <c r="Z45" s="4" t="s">
        <v>48</v>
      </c>
      <c r="AA45" s="6"/>
      <c r="AB45" s="6"/>
      <c r="AC45" s="6"/>
    </row>
    <row r="46" spans="1:30" x14ac:dyDescent="0.25">
      <c r="A46" s="13"/>
      <c r="B46" s="6" t="s">
        <v>397</v>
      </c>
      <c r="C46" s="77">
        <v>115</v>
      </c>
      <c r="D46" s="22">
        <v>3.5</v>
      </c>
      <c r="E46" s="22">
        <v>9</v>
      </c>
      <c r="F46" s="22" t="s">
        <v>34</v>
      </c>
      <c r="G46" s="32">
        <v>6</v>
      </c>
      <c r="H46" s="133">
        <v>115</v>
      </c>
      <c r="I46" s="22">
        <f t="shared" si="1"/>
        <v>105</v>
      </c>
      <c r="J46" s="22">
        <f t="shared" si="2"/>
        <v>92</v>
      </c>
      <c r="K46" s="22">
        <v>0</v>
      </c>
      <c r="L46" s="88">
        <f t="shared" si="0"/>
        <v>2.0249999999999999</v>
      </c>
      <c r="M46" s="22">
        <v>200</v>
      </c>
      <c r="N46" s="24" t="s">
        <v>394</v>
      </c>
      <c r="O46" s="22">
        <v>150</v>
      </c>
      <c r="P46" s="24" t="s">
        <v>43</v>
      </c>
      <c r="Q46" s="22"/>
      <c r="R46" s="22"/>
      <c r="S46" s="22"/>
      <c r="T46" s="200"/>
      <c r="U46" s="4" t="s">
        <v>52</v>
      </c>
      <c r="V46" t="s">
        <v>47</v>
      </c>
      <c r="W46" t="s">
        <v>294</v>
      </c>
      <c r="X46" s="4" t="s">
        <v>59</v>
      </c>
      <c r="Y46" s="4" t="s">
        <v>92</v>
      </c>
      <c r="Z46" s="4" t="s">
        <v>48</v>
      </c>
      <c r="AA46" s="6"/>
      <c r="AB46" s="6"/>
      <c r="AC46" s="6"/>
    </row>
    <row r="47" spans="1:30" x14ac:dyDescent="0.25">
      <c r="A47" s="13"/>
      <c r="B47" s="6" t="s">
        <v>398</v>
      </c>
      <c r="C47" s="77">
        <v>24</v>
      </c>
      <c r="D47" s="22">
        <v>3.3</v>
      </c>
      <c r="E47" s="22">
        <v>9</v>
      </c>
      <c r="F47" s="22" t="s">
        <v>34</v>
      </c>
      <c r="G47" s="32">
        <v>6</v>
      </c>
      <c r="H47" s="133">
        <v>115</v>
      </c>
      <c r="I47" s="22">
        <f t="shared" si="1"/>
        <v>105</v>
      </c>
      <c r="J47" s="22">
        <f t="shared" si="2"/>
        <v>92</v>
      </c>
      <c r="K47" s="22">
        <v>0</v>
      </c>
      <c r="L47" s="88">
        <f t="shared" si="0"/>
        <v>2.0249999999999999</v>
      </c>
      <c r="M47" s="22">
        <v>200</v>
      </c>
      <c r="N47" s="24" t="s">
        <v>394</v>
      </c>
      <c r="O47" s="22">
        <v>150</v>
      </c>
      <c r="P47" s="24" t="s">
        <v>43</v>
      </c>
      <c r="Q47" s="22"/>
      <c r="R47" s="22"/>
      <c r="S47" s="22"/>
      <c r="T47" s="200"/>
      <c r="U47" s="4" t="s">
        <v>52</v>
      </c>
      <c r="V47" t="s">
        <v>47</v>
      </c>
      <c r="W47" t="s">
        <v>294</v>
      </c>
      <c r="X47" s="4" t="s">
        <v>59</v>
      </c>
      <c r="Y47" s="4" t="s">
        <v>92</v>
      </c>
      <c r="Z47" s="4" t="s">
        <v>48</v>
      </c>
      <c r="AA47" s="6"/>
      <c r="AB47" s="6"/>
      <c r="AC47" s="6"/>
    </row>
    <row r="48" spans="1:30" x14ac:dyDescent="0.25">
      <c r="A48" s="217" t="s">
        <v>402</v>
      </c>
      <c r="B48" s="44" t="s">
        <v>403</v>
      </c>
      <c r="C48" s="248">
        <v>28</v>
      </c>
      <c r="D48" s="203">
        <v>3</v>
      </c>
      <c r="E48" s="120">
        <v>9</v>
      </c>
      <c r="F48" s="120" t="s">
        <v>34</v>
      </c>
      <c r="G48" s="41">
        <v>6</v>
      </c>
      <c r="H48" s="202">
        <v>115</v>
      </c>
      <c r="I48" s="120">
        <f t="shared" si="1"/>
        <v>105</v>
      </c>
      <c r="J48" s="120">
        <f t="shared" si="2"/>
        <v>92</v>
      </c>
      <c r="K48" s="120">
        <v>0</v>
      </c>
      <c r="L48" s="85">
        <f t="shared" si="0"/>
        <v>2.0249999999999999</v>
      </c>
      <c r="M48" s="120">
        <v>200</v>
      </c>
      <c r="N48" s="122" t="s">
        <v>394</v>
      </c>
      <c r="O48" s="120">
        <v>150</v>
      </c>
      <c r="P48" s="122" t="s">
        <v>43</v>
      </c>
      <c r="Q48" s="120"/>
      <c r="R48" s="120"/>
      <c r="S48" s="120"/>
      <c r="T48" s="120"/>
      <c r="U48" s="31" t="s">
        <v>52</v>
      </c>
      <c r="V48" s="31" t="s">
        <v>47</v>
      </c>
      <c r="W48" s="31" t="s">
        <v>294</v>
      </c>
      <c r="X48" s="31" t="s">
        <v>59</v>
      </c>
      <c r="Y48" s="31" t="s">
        <v>92</v>
      </c>
      <c r="Z48" s="31" t="s">
        <v>48</v>
      </c>
      <c r="AA48" s="44"/>
      <c r="AB48" s="44"/>
      <c r="AC48" s="44"/>
      <c r="AD48" s="31"/>
    </row>
    <row r="49" spans="1:30" x14ac:dyDescent="0.25">
      <c r="A49" s="217" t="s">
        <v>404</v>
      </c>
      <c r="B49" s="44" t="s">
        <v>405</v>
      </c>
      <c r="C49" s="248">
        <v>147</v>
      </c>
      <c r="D49" s="120">
        <v>3</v>
      </c>
      <c r="E49" s="120">
        <v>9</v>
      </c>
      <c r="F49" s="120" t="s">
        <v>34</v>
      </c>
      <c r="G49" s="41">
        <v>6</v>
      </c>
      <c r="H49" s="202">
        <v>115</v>
      </c>
      <c r="I49" s="120">
        <f t="shared" si="1"/>
        <v>105</v>
      </c>
      <c r="J49" s="120">
        <f t="shared" si="2"/>
        <v>92</v>
      </c>
      <c r="K49" s="120">
        <v>0</v>
      </c>
      <c r="L49" s="85">
        <f t="shared" si="0"/>
        <v>2.0249999999999999</v>
      </c>
      <c r="M49" s="120">
        <v>200</v>
      </c>
      <c r="N49" s="122" t="s">
        <v>394</v>
      </c>
      <c r="O49" s="120">
        <v>150</v>
      </c>
      <c r="P49" s="122" t="s">
        <v>43</v>
      </c>
      <c r="Q49" s="120"/>
      <c r="R49" s="120"/>
      <c r="S49" s="120"/>
      <c r="T49" s="120"/>
      <c r="U49" s="31" t="s">
        <v>52</v>
      </c>
      <c r="V49" s="31" t="s">
        <v>47</v>
      </c>
      <c r="W49" s="31" t="s">
        <v>294</v>
      </c>
      <c r="X49" s="31" t="s">
        <v>59</v>
      </c>
      <c r="Y49" s="31" t="s">
        <v>92</v>
      </c>
      <c r="Z49" s="31" t="s">
        <v>48</v>
      </c>
      <c r="AA49" s="44"/>
      <c r="AB49" s="44"/>
      <c r="AC49" s="44"/>
      <c r="AD49" s="31"/>
    </row>
    <row r="50" spans="1:30" x14ac:dyDescent="0.25">
      <c r="A50" s="13"/>
      <c r="B50" s="6"/>
      <c r="C50" s="6"/>
      <c r="D50" s="22"/>
      <c r="E50" s="22"/>
      <c r="F50" s="22"/>
      <c r="G50" s="32"/>
      <c r="H50" s="133"/>
      <c r="I50" s="22"/>
      <c r="J50" s="22"/>
      <c r="K50" s="22"/>
      <c r="L50" s="88"/>
      <c r="M50" s="22"/>
      <c r="N50" s="24"/>
      <c r="O50" s="22"/>
      <c r="P50" s="24"/>
      <c r="Q50" s="22"/>
      <c r="R50" s="22"/>
      <c r="S50" s="22"/>
      <c r="T50" s="22"/>
      <c r="U50" s="4"/>
      <c r="V50" s="4"/>
      <c r="W50" s="6"/>
      <c r="X50" s="6"/>
      <c r="Y50" s="4"/>
      <c r="Z50" s="6"/>
      <c r="AA50" s="6"/>
      <c r="AB50" s="6"/>
      <c r="AC50" s="6"/>
    </row>
    <row r="51" spans="1:30" x14ac:dyDescent="0.25">
      <c r="A51" s="13"/>
      <c r="B51" s="6"/>
      <c r="C51" s="6"/>
      <c r="D51" s="22"/>
      <c r="E51" s="22"/>
      <c r="F51" s="22"/>
      <c r="G51" s="32"/>
      <c r="H51" s="133"/>
      <c r="I51" s="22"/>
      <c r="J51" s="22"/>
      <c r="K51" s="22"/>
      <c r="L51" s="88"/>
      <c r="M51" s="22"/>
      <c r="N51" s="24"/>
      <c r="O51" s="22"/>
      <c r="P51" s="24"/>
      <c r="Q51" s="22"/>
      <c r="R51" s="22"/>
      <c r="S51" s="22"/>
      <c r="T51" s="22"/>
      <c r="U51" s="4"/>
      <c r="V51" s="4"/>
      <c r="W51" s="6"/>
      <c r="X51" s="6"/>
      <c r="Y51" s="4"/>
      <c r="Z51" s="6"/>
      <c r="AA51" s="6"/>
      <c r="AB51" s="6"/>
      <c r="AC51" s="6"/>
    </row>
    <row r="52" spans="1:30" ht="15.75" thickBot="1" x14ac:dyDescent="0.3">
      <c r="A52" s="6"/>
      <c r="B52" s="6"/>
      <c r="C52" s="18"/>
      <c r="O52" s="22"/>
      <c r="P52" s="22"/>
      <c r="Q52" s="22"/>
      <c r="R52" s="22"/>
      <c r="S52" s="22"/>
      <c r="T52" s="22"/>
    </row>
    <row r="53" spans="1:30" x14ac:dyDescent="0.25">
      <c r="A53" s="6"/>
      <c r="B53" s="6"/>
      <c r="C53" s="18"/>
      <c r="D53" s="53" t="s">
        <v>248</v>
      </c>
      <c r="E53" s="53" t="s">
        <v>249</v>
      </c>
      <c r="F53" s="53" t="s">
        <v>250</v>
      </c>
      <c r="G53" s="53" t="s">
        <v>251</v>
      </c>
      <c r="H53" s="53" t="s">
        <v>252</v>
      </c>
      <c r="I53" s="53" t="s">
        <v>253</v>
      </c>
      <c r="J53" s="53" t="s">
        <v>205</v>
      </c>
      <c r="K53" s="53" t="s">
        <v>205</v>
      </c>
      <c r="O53" s="22"/>
      <c r="P53" s="22"/>
      <c r="Q53" s="22"/>
      <c r="R53" s="22"/>
      <c r="S53" s="22"/>
      <c r="T53" s="22"/>
      <c r="U53" s="19" t="s">
        <v>215</v>
      </c>
      <c r="V53" s="1"/>
      <c r="W53" s="2"/>
    </row>
    <row r="54" spans="1:30" x14ac:dyDescent="0.25">
      <c r="A54" s="90" t="s">
        <v>488</v>
      </c>
      <c r="B54" s="6"/>
      <c r="C54" s="6"/>
      <c r="D54" s="53" t="s">
        <v>489</v>
      </c>
      <c r="E54" s="53" t="s">
        <v>490</v>
      </c>
      <c r="F54" s="53" t="s">
        <v>281</v>
      </c>
      <c r="G54" s="53" t="s">
        <v>491</v>
      </c>
      <c r="H54" s="53" t="s">
        <v>492</v>
      </c>
      <c r="I54" s="53" t="s">
        <v>493</v>
      </c>
      <c r="J54" s="53" t="s">
        <v>494</v>
      </c>
      <c r="K54" s="53" t="s">
        <v>495</v>
      </c>
      <c r="O54" s="22"/>
      <c r="P54" s="22"/>
      <c r="Q54" s="22"/>
      <c r="R54" s="22"/>
      <c r="S54" s="22"/>
      <c r="T54" s="22"/>
      <c r="U54" s="80" t="s">
        <v>96</v>
      </c>
      <c r="V54" s="31" t="s">
        <v>36</v>
      </c>
      <c r="W54" s="81" t="s">
        <v>216</v>
      </c>
    </row>
    <row r="55" spans="1:30" ht="15.75" thickBot="1" x14ac:dyDescent="0.3">
      <c r="D55" s="98"/>
      <c r="E55" s="99"/>
      <c r="F55" s="99"/>
      <c r="G55" s="99"/>
      <c r="H55" s="99"/>
      <c r="I55" s="99"/>
      <c r="J55" s="99"/>
      <c r="K55" s="98"/>
      <c r="M55" s="98"/>
      <c r="O55" s="22"/>
      <c r="P55" s="22"/>
      <c r="Q55" s="22"/>
      <c r="R55" s="22"/>
      <c r="S55" s="22"/>
      <c r="T55" s="22"/>
      <c r="U55" s="37" t="s">
        <v>37</v>
      </c>
      <c r="V55" s="4" t="s">
        <v>226</v>
      </c>
      <c r="W55" s="76" t="s">
        <v>217</v>
      </c>
    </row>
    <row r="56" spans="1:30" ht="15.75" thickBot="1" x14ac:dyDescent="0.3">
      <c r="A56" s="207" t="s">
        <v>8</v>
      </c>
      <c r="B56" s="106"/>
      <c r="C56" s="106"/>
      <c r="D56" s="107">
        <f>(D24*$C$24+D25*$C$25+D26*$C$26+D27*$C$27)/SUM($C$24:$C$27)</f>
        <v>2.1123642207038107</v>
      </c>
      <c r="E56" s="107">
        <f>(E24*$C$24+E25*$C$25+E26*$C$26+E27*$C$27)/SUM($C$24:$C$27)</f>
        <v>9.0079401517811331</v>
      </c>
      <c r="F56" s="108">
        <f>(H24*$C$24+H25*$C$25+H26*$C$26+H27*$C$27)/SUM($C$24:$C$27)*36</f>
        <v>5368.1661490263859</v>
      </c>
      <c r="G56" s="108">
        <f>(I24*$C$24+I25*$C$25+I26*$C$26+I27*$C$27)/SUM($C$24:$C$27)</f>
        <v>96.071599103357016</v>
      </c>
      <c r="H56" s="108">
        <f>(J24*$C$24+J25*$C$25+J26*$C$26+J27*$C$27)/SUM($C$24:$C$27)</f>
        <v>47.80727577173414</v>
      </c>
      <c r="I56" s="108">
        <v>0</v>
      </c>
      <c r="J56" s="108">
        <f>(G24*$C$24+G25*$C$25+G26*$C$26+G27*$C$27)/SUM($C$24:$C$27)</f>
        <v>6.0039700758905665</v>
      </c>
      <c r="K56" s="107">
        <f>(L24*$C$24+L25*$C$25+L26*$C$26+L27*$C$27)/SUM($C$24:$C$27)</f>
        <v>1.4518062765009321</v>
      </c>
      <c r="O56" s="22"/>
      <c r="P56" s="22"/>
      <c r="Q56" s="22"/>
      <c r="R56" s="22"/>
      <c r="S56" s="22"/>
      <c r="T56" s="22"/>
      <c r="U56" s="37" t="s">
        <v>52</v>
      </c>
      <c r="V56" s="4" t="s">
        <v>47</v>
      </c>
      <c r="W56" s="76"/>
    </row>
    <row r="57" spans="1:30" ht="15.75" thickBot="1" x14ac:dyDescent="0.3">
      <c r="A57" s="208" t="s">
        <v>15</v>
      </c>
      <c r="B57" s="64"/>
      <c r="C57" s="64"/>
      <c r="D57" s="100">
        <v>3</v>
      </c>
      <c r="E57" s="101">
        <v>9</v>
      </c>
      <c r="F57" s="245">
        <f>F61</f>
        <v>4140</v>
      </c>
      <c r="G57" s="101">
        <v>69</v>
      </c>
      <c r="H57" s="101">
        <v>0</v>
      </c>
      <c r="I57" s="101">
        <v>0</v>
      </c>
      <c r="J57" s="64">
        <v>6.6</v>
      </c>
      <c r="K57" s="100">
        <v>2.415</v>
      </c>
      <c r="O57" s="22"/>
      <c r="P57" s="22"/>
      <c r="Q57" s="22"/>
      <c r="R57" s="22"/>
      <c r="S57" s="22"/>
      <c r="T57" s="22"/>
      <c r="U57" s="37" t="s">
        <v>76</v>
      </c>
      <c r="V57" s="4" t="s">
        <v>44</v>
      </c>
      <c r="W57" s="76"/>
    </row>
    <row r="58" spans="1:30" ht="15.75" thickBot="1" x14ac:dyDescent="0.3">
      <c r="A58" s="207" t="s">
        <v>7</v>
      </c>
      <c r="B58" s="106"/>
      <c r="C58" s="106"/>
      <c r="D58" s="107">
        <f>(D3*C3+D5*C5+D6*C6+D7*C7+D9*C9+D10*C10+D11*C11+D12*C12+D13*C13+D14*C14+D15*C15+D16*C16+C17*D17+C18*D18+C19*D19+C20*D20+C21*D21+C22*D22+C23*D23)/(C3+C5+C6+C7+C9+C10+C11+C12+C13+C14+C15+C16+C17+C18+C19+C20+C21+C22+C23)</f>
        <v>2.664227467811159</v>
      </c>
      <c r="E58" s="108">
        <f>(E3*C3+E5*C5+E6*C6+E7*C7+E9*C9+E10*C10+E11*C11+E12*C12+E13*C13+E14*C14+E15*C15+E16*C16+C17*E17+C18*E18+C19*E19+C20*E20+C21*E21+C22*E22+C23*E23)/(C3+C5+C6+C7+C9+C10+C11+C12+C13+C14+C15+C16+C17+C18+C19+C20+C21+C22+C23)</f>
        <v>9.9491416309012877</v>
      </c>
      <c r="F58" s="108">
        <f>(H3*C3+H5*C5+D6*H6+D7*C7+H9*C9+H10*C10+H11*C11+H12*C12+H13*C13+H14*C14+H15*C15+H16*C16+C17*H17+C18*H18+C19*H19+C20*H20+C21*H21+C22*H22+C23*H23)*36/(C3+C5+C6+C7+C9+C10+C11+C12+C13+C14+C15+C16+C17+C18+C19+C20+C21+C22+C23)</f>
        <v>5055.7133956071702</v>
      </c>
      <c r="G58" s="108">
        <f>(I3*C3+I5*C5+I6*C6+I7*C7+I9*C9+I10*C10+I11*C11+I12*C12+I13*C13+I14*C14+I15*C15+I16*C16+C17*I17+C18*I18+C19*I19+C20*I20+C21*I21+C22*I22+C23*I23)/(C3+C5+C6+C7+C9+C10+C11+C12+C13+C14+C15+C16+C17+C18+C19+C20+C21+C22+C23)</f>
        <v>100.73412017167382</v>
      </c>
      <c r="H58" s="108">
        <f>(J3*C3+J5*C5+J6*C6+J7*C7+J9*C9+J10*C10+J11*C11+J12*C12+J13*C13+J14*C14+J15*C15+J16*C16+C17*J17+C18*J18+C19*J19+C20*J20+C21*J21+C22*J22+C23*J23)/(C3+C5+C6+C7+C9+C10+C11+C12+C13+C14+C15+C16+C17+C18+C19+C20+C21+C22+C23)</f>
        <v>56.267811158798281</v>
      </c>
      <c r="I58" s="108">
        <f>(K3*C3+K5*C5+K6*C6+K7*C7+K9*C9+K10*C10+K11*C11+K12*C12+K13*C13+K14*C14+K15*C15+K16*C16+C17*K17+C18*K18+C19*K19+C20*K20+C21*K21+C22*K22+C23*K23)/(C3+C5+C6+C7+C9+C10+C11+C12+C13+C14+C15+C16+C17+C18+C19+C20+C21+C22+C23)</f>
        <v>33.985407725321892</v>
      </c>
      <c r="J58" s="108">
        <f>(G3*C3+G5*C5+G6*C6+G7*C7+G9*C9+G10*C10+G11*C11+G12*C12+G13*C13+G14*C14+G15*C15+G16*C16+C17*G17+C18*G18+C19*G19+C20*G20+C21*G21+C22*G22+C23*G23)/(C3+C5+C6+C7+C9+C10+C11+C12+C13+C14+C15+C16+C17+C18+C19+C20+C21+C22+C23)</f>
        <v>6.1615450643776821</v>
      </c>
      <c r="K58" s="107">
        <f>(L3*C3+L5*C5+L6*C6+L7*C7+L9*C9+L10*C10+L11*C11+L12*C12+L13*C13+L14*C14+L15*C15+L16*C16+C17*L17+C18*L18+C19*L19+C20*L20+C21*L21+C22*L22+C23*L23)/(C3+C5+C6+C7+C9+C10+C11+C12+C13+C14+C15+C16+C17+C18+C19+C20+C21+C22+C23)</f>
        <v>1.058101931330472</v>
      </c>
      <c r="O58" s="22"/>
      <c r="P58" s="22"/>
      <c r="Q58" s="22"/>
      <c r="R58" s="22"/>
      <c r="S58" s="22"/>
      <c r="T58" s="22"/>
      <c r="U58" s="37" t="s">
        <v>46</v>
      </c>
      <c r="V58" s="4" t="s">
        <v>44</v>
      </c>
      <c r="W58" s="76"/>
    </row>
    <row r="59" spans="1:30" ht="15.75" thickBot="1" x14ac:dyDescent="0.3">
      <c r="A59" s="207" t="s">
        <v>270</v>
      </c>
      <c r="B59" s="106"/>
      <c r="C59" s="106"/>
      <c r="D59" s="107">
        <f>(C29*D29+C30*D30+C31*D31)/(C29+C30+C31)</f>
        <v>2.7723760463618801</v>
      </c>
      <c r="E59" s="108">
        <f>(C29*E29+C30*E30+C31*E31)/(C29+C30+C31)</f>
        <v>12.122987765614939</v>
      </c>
      <c r="F59" s="108">
        <f>(C29*H29+C30*H30+C31*H31)/(C29+C30+C31)*36</f>
        <v>3803.876368319382</v>
      </c>
      <c r="G59" s="108">
        <f>(C29*I29+C30*I30+C31*I31)/(C29+C30+C31)</f>
        <v>78.663876368319379</v>
      </c>
      <c r="H59" s="108">
        <f>(C29*J29+C30*J30+C31*J31)/(C29+C30+C31)</f>
        <v>46.410817772054088</v>
      </c>
      <c r="I59" s="108">
        <f>K29</f>
        <v>0</v>
      </c>
      <c r="J59" s="108">
        <f>(C29*G29+C30*G30+C31*G31)/(C29+C30+C31)</f>
        <v>6</v>
      </c>
      <c r="K59" s="107">
        <f>(C29*L29+C30*L30+C31*L31)/(C29+C30+C31)</f>
        <v>0.51340952994204769</v>
      </c>
      <c r="U59" s="37" t="s">
        <v>51</v>
      </c>
      <c r="V59" s="4" t="s">
        <v>219</v>
      </c>
      <c r="W59" s="76" t="s">
        <v>218</v>
      </c>
    </row>
    <row r="60" spans="1:30" ht="15.75" thickBot="1" x14ac:dyDescent="0.3">
      <c r="A60" s="207" t="s">
        <v>291</v>
      </c>
      <c r="B60" s="106"/>
      <c r="C60" s="106"/>
      <c r="D60" s="107">
        <f>(D32*$C$32+D33*$C$33+D34*$C$34+C39*D39+C40*D40+C41*D41+C42*D42)/(SUM(C32:C34,C39:C42))</f>
        <v>3.2693726937269374</v>
      </c>
      <c r="E60" s="108">
        <f>(E32*$C$32+E33*$C$33+E34*$C$34+C39*E39+C40*E40+C41*E41+C42*E42)/(SUM(C32:C34,C39:C42))</f>
        <v>9.3690036900368998</v>
      </c>
      <c r="F60" s="134">
        <f>(H32*$C$32+H33*$C$33+H34*$C$34+C39*H39+C40*H40+C41*H41+C42*H42)/(SUM(C32:C34,C39:C42))*36</f>
        <v>3940.7380073800737</v>
      </c>
      <c r="G60" s="108">
        <f>(I32*$C$32+I33*$C$33+I34*$C$34+C39*I39+C40*I40+C41*I41+C42*I42)/(SUM(C32:C34,C39:C42))</f>
        <v>108.87638376383764</v>
      </c>
      <c r="H60" s="108">
        <f>(J32*$C$32+J33*$C$33+J34*$C$34+C39*J39+C40*J40+C41*J41+C42*J42)/(SUM(C32:C34,C39:C42))</f>
        <v>45.920664206642066</v>
      </c>
      <c r="I60" s="108">
        <f>(K32*$C$32+K33*$C$33+K34*$C$34+C39*K39+C40*K40+C41*K41+C42*K42)/(SUM(C32:C34,C39:C42))</f>
        <v>13.881918819188192</v>
      </c>
      <c r="J60" s="108">
        <v>6</v>
      </c>
      <c r="K60" s="107">
        <f>(L32*$C$32+L33*$C$33+L34*$C$34+C39*L39+C40*L40+C41*L41+C42*L42)/(SUM(C32:C34,C39:C42))</f>
        <v>1.895880996309963</v>
      </c>
      <c r="U60" s="37" t="s">
        <v>59</v>
      </c>
      <c r="V60" s="4" t="s">
        <v>223</v>
      </c>
      <c r="W60" s="76" t="s">
        <v>220</v>
      </c>
    </row>
    <row r="61" spans="1:30" ht="15.75" thickBot="1" x14ac:dyDescent="0.3">
      <c r="A61" s="207" t="s">
        <v>316</v>
      </c>
      <c r="B61" s="106"/>
      <c r="C61" s="106"/>
      <c r="D61" s="107">
        <f>(C43*D43+C44*D44+C45*D45+C46*D46+C47*D47)/SUM(C43:C47)</f>
        <v>3.3646408839779007</v>
      </c>
      <c r="E61" s="108">
        <v>9</v>
      </c>
      <c r="F61" s="134">
        <f>H47*36</f>
        <v>4140</v>
      </c>
      <c r="G61" s="108">
        <f t="shared" ref="G61:I63" si="3">I47</f>
        <v>105</v>
      </c>
      <c r="H61" s="108">
        <f t="shared" si="3"/>
        <v>92</v>
      </c>
      <c r="I61" s="108">
        <f t="shared" si="3"/>
        <v>0</v>
      </c>
      <c r="J61" s="108">
        <v>6</v>
      </c>
      <c r="K61" s="107">
        <f>L47</f>
        <v>2.0249999999999999</v>
      </c>
      <c r="U61" s="37"/>
      <c r="V61" s="4"/>
      <c r="W61" s="76"/>
    </row>
    <row r="62" spans="1:30" ht="15.75" thickBot="1" x14ac:dyDescent="0.3">
      <c r="A62" s="208" t="s">
        <v>402</v>
      </c>
      <c r="B62" s="64"/>
      <c r="C62" s="64"/>
      <c r="D62" s="100">
        <f>D48</f>
        <v>3</v>
      </c>
      <c r="E62" s="101">
        <f>E48</f>
        <v>9</v>
      </c>
      <c r="F62" s="213">
        <f>H48*36</f>
        <v>4140</v>
      </c>
      <c r="G62" s="101">
        <f t="shared" si="3"/>
        <v>105</v>
      </c>
      <c r="H62" s="101">
        <f t="shared" si="3"/>
        <v>92</v>
      </c>
      <c r="I62" s="101">
        <f t="shared" si="3"/>
        <v>0</v>
      </c>
      <c r="J62" s="101">
        <f>G48</f>
        <v>6</v>
      </c>
      <c r="K62" s="100">
        <f>L48</f>
        <v>2.0249999999999999</v>
      </c>
      <c r="U62" s="37"/>
      <c r="V62" s="4"/>
      <c r="W62" s="76"/>
    </row>
    <row r="63" spans="1:30" ht="15.75" thickBot="1" x14ac:dyDescent="0.3">
      <c r="A63" s="208" t="s">
        <v>404</v>
      </c>
      <c r="B63" s="64"/>
      <c r="C63" s="64"/>
      <c r="D63" s="100">
        <f>D49</f>
        <v>3</v>
      </c>
      <c r="E63" s="101">
        <f>E49</f>
        <v>9</v>
      </c>
      <c r="F63" s="213">
        <f>H49*36</f>
        <v>4140</v>
      </c>
      <c r="G63" s="101">
        <f t="shared" si="3"/>
        <v>105</v>
      </c>
      <c r="H63" s="101">
        <f t="shared" si="3"/>
        <v>92</v>
      </c>
      <c r="I63" s="101">
        <f t="shared" si="3"/>
        <v>0</v>
      </c>
      <c r="J63" s="101">
        <f>G49</f>
        <v>6</v>
      </c>
      <c r="K63" s="100">
        <f>L49</f>
        <v>2.0249999999999999</v>
      </c>
      <c r="U63" s="37"/>
      <c r="V63" s="4"/>
      <c r="W63" s="76"/>
    </row>
    <row r="64" spans="1:30" x14ac:dyDescent="0.25">
      <c r="U64" s="37" t="s">
        <v>222</v>
      </c>
      <c r="V64" s="4" t="s">
        <v>224</v>
      </c>
      <c r="W64" s="76" t="s">
        <v>221</v>
      </c>
    </row>
    <row r="65" spans="1:23" x14ac:dyDescent="0.25">
      <c r="B65" s="7"/>
      <c r="U65" s="37" t="s">
        <v>142</v>
      </c>
      <c r="V65" s="4" t="s">
        <v>227</v>
      </c>
      <c r="W65" s="76" t="s">
        <v>228</v>
      </c>
    </row>
    <row r="66" spans="1:23" x14ac:dyDescent="0.25">
      <c r="U66" s="82" t="s">
        <v>199</v>
      </c>
      <c r="V66" s="83" t="s">
        <v>230</v>
      </c>
      <c r="W66" s="84" t="s">
        <v>229</v>
      </c>
    </row>
    <row r="67" spans="1:23" ht="15.75" thickBot="1" x14ac:dyDescent="0.3">
      <c r="A67" s="7" t="s">
        <v>498</v>
      </c>
    </row>
    <row r="68" spans="1:23" ht="15.75" thickBot="1" x14ac:dyDescent="0.3">
      <c r="A68" s="20" t="s">
        <v>496</v>
      </c>
      <c r="B68" s="74"/>
      <c r="C68" s="75"/>
      <c r="R68" s="223" t="s">
        <v>460</v>
      </c>
      <c r="S68" s="185">
        <v>28.749579808906017</v>
      </c>
    </row>
    <row r="69" spans="1:23" x14ac:dyDescent="0.25">
      <c r="A69" s="227"/>
      <c r="B69" s="1"/>
      <c r="C69" s="2"/>
      <c r="H69" s="7"/>
      <c r="O69" s="7" t="s">
        <v>459</v>
      </c>
      <c r="P69" s="7"/>
      <c r="Q69" s="7"/>
      <c r="R69" s="223" t="s">
        <v>461</v>
      </c>
      <c r="S69" s="185">
        <v>29.862704565609814</v>
      </c>
    </row>
    <row r="70" spans="1:23" x14ac:dyDescent="0.25">
      <c r="A70" s="3"/>
      <c r="B70" s="228" t="s">
        <v>463</v>
      </c>
      <c r="C70" s="229" t="s">
        <v>457</v>
      </c>
      <c r="O70" t="s">
        <v>462</v>
      </c>
      <c r="Q70">
        <f>S69/S68</f>
        <v>1.0387179487179488</v>
      </c>
      <c r="S70" s="4"/>
    </row>
    <row r="71" spans="1:23" x14ac:dyDescent="0.25">
      <c r="A71" s="153" t="s">
        <v>8</v>
      </c>
      <c r="B71" s="230">
        <v>38.532606860534358</v>
      </c>
      <c r="C71" s="231">
        <f>B71*$Q$70</f>
        <v>40.024510356929405</v>
      </c>
      <c r="F71" s="98"/>
      <c r="H71" s="98"/>
      <c r="I71" s="98"/>
      <c r="K71" s="98"/>
      <c r="M71" s="98"/>
      <c r="S71" s="4"/>
    </row>
    <row r="72" spans="1:23" x14ac:dyDescent="0.25">
      <c r="A72" s="104" t="s">
        <v>15</v>
      </c>
      <c r="B72" s="246">
        <v>21.9</v>
      </c>
      <c r="C72" s="247">
        <f>B72*Q70</f>
        <v>22.747923076923076</v>
      </c>
      <c r="F72" s="72"/>
      <c r="H72" s="72"/>
      <c r="I72" s="98"/>
      <c r="K72" s="98"/>
      <c r="M72" s="98"/>
      <c r="S72" s="4"/>
    </row>
    <row r="73" spans="1:23" x14ac:dyDescent="0.25">
      <c r="A73" s="153" t="s">
        <v>7</v>
      </c>
      <c r="B73" s="230">
        <v>32.642909998101523</v>
      </c>
      <c r="C73" s="231">
        <f t="shared" ref="C73:C78" si="4">B73*$Q$70</f>
        <v>33.906776513412638</v>
      </c>
      <c r="F73" s="98"/>
      <c r="H73" s="98"/>
      <c r="I73" s="98"/>
      <c r="K73" s="98"/>
      <c r="M73" s="98"/>
      <c r="S73" s="4"/>
    </row>
    <row r="74" spans="1:23" x14ac:dyDescent="0.25">
      <c r="A74" s="153" t="s">
        <v>270</v>
      </c>
      <c r="B74" s="230">
        <v>25.742009028371481</v>
      </c>
      <c r="C74" s="231">
        <f t="shared" si="4"/>
        <v>26.738686813828942</v>
      </c>
      <c r="F74" s="98"/>
      <c r="H74" s="98"/>
      <c r="I74" s="98"/>
      <c r="K74" s="98"/>
      <c r="M74" s="98"/>
      <c r="S74" s="4"/>
    </row>
    <row r="75" spans="1:23" x14ac:dyDescent="0.25">
      <c r="A75" s="153" t="s">
        <v>291</v>
      </c>
      <c r="B75" s="230">
        <v>27.157141576575146</v>
      </c>
      <c r="C75" s="231">
        <f t="shared" si="4"/>
        <v>28.208610391463058</v>
      </c>
      <c r="F75" s="98"/>
      <c r="H75" s="98"/>
      <c r="I75" s="98"/>
      <c r="K75" s="98"/>
      <c r="M75" s="98"/>
      <c r="S75" s="4"/>
    </row>
    <row r="76" spans="1:23" x14ac:dyDescent="0.25">
      <c r="A76" s="153" t="s">
        <v>316</v>
      </c>
      <c r="B76" s="230">
        <v>26.566989120899393</v>
      </c>
      <c r="C76" s="231">
        <f t="shared" si="4"/>
        <v>27.595608443272678</v>
      </c>
      <c r="F76" s="98"/>
      <c r="H76" s="98"/>
      <c r="I76" s="98"/>
      <c r="K76" s="98"/>
      <c r="M76" s="98"/>
      <c r="S76" s="4"/>
    </row>
    <row r="77" spans="1:23" x14ac:dyDescent="0.25">
      <c r="A77" s="104" t="s">
        <v>402</v>
      </c>
      <c r="B77" s="230">
        <v>29.227750330046522</v>
      </c>
      <c r="C77" s="231">
        <f t="shared" si="4"/>
        <v>30.359388868466272</v>
      </c>
      <c r="F77" s="98"/>
      <c r="H77" s="98"/>
      <c r="I77" s="98"/>
      <c r="K77" s="98"/>
      <c r="M77" s="98"/>
      <c r="S77" s="4"/>
    </row>
    <row r="78" spans="1:23" x14ac:dyDescent="0.25">
      <c r="A78" s="104" t="s">
        <v>404</v>
      </c>
      <c r="B78" s="230">
        <v>29.227750330046522</v>
      </c>
      <c r="C78" s="231">
        <f t="shared" si="4"/>
        <v>30.359388868466272</v>
      </c>
      <c r="F78" s="98"/>
      <c r="H78" s="98"/>
      <c r="I78" s="98"/>
      <c r="K78" s="98"/>
      <c r="M78" s="98"/>
      <c r="S78" s="4"/>
    </row>
    <row r="79" spans="1:23" ht="15.75" thickBot="1" x14ac:dyDescent="0.3">
      <c r="A79" s="21" t="s">
        <v>254</v>
      </c>
      <c r="B79" s="105">
        <v>18</v>
      </c>
      <c r="C79" s="232" t="s">
        <v>464</v>
      </c>
      <c r="F79" s="98"/>
      <c r="O79" s="222"/>
      <c r="Q79" s="98"/>
      <c r="S79" s="4"/>
    </row>
    <row r="80" spans="1:23" x14ac:dyDescent="0.25">
      <c r="O80" s="222"/>
      <c r="Q80" s="98"/>
      <c r="S80" s="4"/>
    </row>
    <row r="81" spans="15:19" x14ac:dyDescent="0.25">
      <c r="O81" s="222"/>
      <c r="Q81" s="98"/>
      <c r="S81" s="4"/>
    </row>
    <row r="82" spans="15:19" x14ac:dyDescent="0.25">
      <c r="O82" s="222"/>
      <c r="Q82" s="98"/>
      <c r="S82" s="4"/>
    </row>
    <row r="83" spans="15:19" x14ac:dyDescent="0.25">
      <c r="O83" s="222"/>
      <c r="Q83" s="98"/>
      <c r="S83" s="4"/>
    </row>
    <row r="84" spans="15:19" x14ac:dyDescent="0.25">
      <c r="O84" s="222"/>
      <c r="Q84" s="98"/>
      <c r="S84" s="4"/>
    </row>
  </sheetData>
  <pageMargins left="0.7" right="0.7" top="0.75" bottom="0.75" header="0.3" footer="0.3"/>
  <pageSetup paperSize="9" orientation="portrait" horizontalDpi="1200" verticalDpi="1200" r:id="rId1"/>
  <ignoredErrors>
    <ignoredError sqref="I7:J7 I24" formula="1"/>
    <ignoredError sqref="D61 D60:K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5"/>
  <sheetViews>
    <sheetView topLeftCell="E66" workbookViewId="0">
      <selection activeCell="L72" sqref="L72:L81"/>
    </sheetView>
  </sheetViews>
  <sheetFormatPr defaultRowHeight="15" x14ac:dyDescent="0.25"/>
  <cols>
    <col min="1" max="1" width="17.7109375" customWidth="1"/>
    <col min="2" max="2" width="21.85546875" customWidth="1"/>
    <col min="3" max="3" width="26.7109375" customWidth="1"/>
    <col min="4" max="4" width="9.7109375" bestFit="1" customWidth="1"/>
    <col min="14" max="14" width="13.7109375" customWidth="1"/>
    <col min="18" max="18" width="13.7109375" customWidth="1"/>
    <col min="19" max="19" width="14.7109375" style="37" customWidth="1"/>
    <col min="20" max="20" width="18.5703125" customWidth="1"/>
    <col min="21" max="21" width="13.85546875" customWidth="1"/>
    <col min="22" max="22" width="11.7109375" customWidth="1"/>
    <col min="23" max="23" width="18.7109375" customWidth="1"/>
    <col min="25" max="25" width="12.85546875" customWidth="1"/>
    <col min="26" max="26" width="15.42578125" customWidth="1"/>
    <col min="29" max="29" width="14.7109375" customWidth="1"/>
    <col min="30" max="30" width="12" customWidth="1"/>
    <col min="31" max="31" width="18.140625" customWidth="1"/>
    <col min="32" max="32" width="20.7109375" customWidth="1"/>
    <col min="34" max="34" width="14.28515625" customWidth="1"/>
    <col min="35" max="35" width="17" customWidth="1"/>
  </cols>
  <sheetData>
    <row r="1" spans="1:33" x14ac:dyDescent="0.25">
      <c r="D1" t="s">
        <v>31</v>
      </c>
      <c r="G1" t="s">
        <v>204</v>
      </c>
    </row>
    <row r="2" spans="1:33" ht="61.5" customHeight="1" thickBot="1" x14ac:dyDescent="0.3">
      <c r="A2" s="7" t="s">
        <v>0</v>
      </c>
      <c r="B2" t="s">
        <v>10</v>
      </c>
      <c r="C2" t="s">
        <v>5</v>
      </c>
      <c r="D2" s="23" t="s">
        <v>467</v>
      </c>
      <c r="E2" s="23" t="s">
        <v>469</v>
      </c>
      <c r="F2" s="23" t="s">
        <v>470</v>
      </c>
      <c r="G2" s="23" t="s">
        <v>471</v>
      </c>
      <c r="H2" s="23" t="s">
        <v>472</v>
      </c>
      <c r="I2" s="23" t="s">
        <v>473</v>
      </c>
      <c r="J2" s="23" t="s">
        <v>474</v>
      </c>
      <c r="K2" s="23" t="s">
        <v>475</v>
      </c>
      <c r="L2" s="23" t="s">
        <v>476</v>
      </c>
      <c r="M2" s="23" t="s">
        <v>478</v>
      </c>
      <c r="N2" s="23" t="s">
        <v>477</v>
      </c>
      <c r="O2" s="23" t="s">
        <v>478</v>
      </c>
      <c r="P2" s="23" t="s">
        <v>477</v>
      </c>
      <c r="Q2" s="23" t="s">
        <v>478</v>
      </c>
      <c r="R2" s="23" t="s">
        <v>477</v>
      </c>
      <c r="S2" s="38" t="s">
        <v>479</v>
      </c>
      <c r="T2" s="23" t="s">
        <v>33</v>
      </c>
      <c r="U2" s="23" t="s">
        <v>480</v>
      </c>
      <c r="V2" s="38" t="s">
        <v>479</v>
      </c>
      <c r="W2" s="23" t="s">
        <v>33</v>
      </c>
      <c r="X2" s="23" t="s">
        <v>480</v>
      </c>
      <c r="Y2" s="38" t="s">
        <v>479</v>
      </c>
      <c r="Z2" s="23" t="s">
        <v>33</v>
      </c>
      <c r="AA2" s="23" t="s">
        <v>480</v>
      </c>
      <c r="AB2" s="38" t="s">
        <v>479</v>
      </c>
      <c r="AC2" s="23" t="s">
        <v>33</v>
      </c>
      <c r="AD2" s="23" t="s">
        <v>480</v>
      </c>
    </row>
    <row r="3" spans="1:33" x14ac:dyDescent="0.25">
      <c r="A3" s="19" t="s">
        <v>7</v>
      </c>
      <c r="B3" s="1" t="s">
        <v>1</v>
      </c>
      <c r="C3" s="2">
        <v>500</v>
      </c>
      <c r="D3" s="32">
        <v>2.2999999999999998</v>
      </c>
      <c r="E3" s="32">
        <v>10.5</v>
      </c>
      <c r="F3" s="32" t="s">
        <v>34</v>
      </c>
      <c r="G3" s="25">
        <v>4.8</v>
      </c>
      <c r="H3" s="32">
        <v>130</v>
      </c>
      <c r="I3" s="32">
        <f>M3*0.21+O3*0.46</f>
        <v>100.5</v>
      </c>
      <c r="J3" s="32">
        <v>0</v>
      </c>
      <c r="K3" s="32">
        <v>0</v>
      </c>
      <c r="L3" s="78">
        <f>2.25*0.5</f>
        <v>1.125</v>
      </c>
      <c r="M3" s="32">
        <v>150</v>
      </c>
      <c r="N3" s="33" t="s">
        <v>95</v>
      </c>
      <c r="O3" s="32">
        <v>150</v>
      </c>
      <c r="P3" s="33" t="s">
        <v>43</v>
      </c>
      <c r="Q3" s="32"/>
      <c r="R3" s="33"/>
      <c r="S3" s="40" t="s">
        <v>98</v>
      </c>
      <c r="T3" s="13" t="s">
        <v>104</v>
      </c>
      <c r="U3" s="13" t="s">
        <v>115</v>
      </c>
      <c r="V3" s="13"/>
      <c r="W3" s="13"/>
      <c r="X3" s="13"/>
      <c r="Y3" s="13"/>
      <c r="Z3" s="13"/>
      <c r="AA3" s="13"/>
      <c r="AB3" s="13"/>
    </row>
    <row r="4" spans="1:33" x14ac:dyDescent="0.25">
      <c r="A4" s="3"/>
      <c r="B4" s="4" t="s">
        <v>2</v>
      </c>
      <c r="C4" s="5">
        <v>160</v>
      </c>
      <c r="D4" s="32">
        <v>2.8</v>
      </c>
      <c r="E4" s="32">
        <v>10</v>
      </c>
      <c r="F4" s="32" t="s">
        <v>34</v>
      </c>
      <c r="G4" s="32">
        <v>5</v>
      </c>
      <c r="H4" s="32">
        <v>142.5</v>
      </c>
      <c r="I4" s="32">
        <f>M4*0.265+Q4*0.46</f>
        <v>145</v>
      </c>
      <c r="J4" s="32">
        <f>M4*0.5</f>
        <v>100</v>
      </c>
      <c r="K4" s="32">
        <v>0</v>
      </c>
      <c r="L4" s="78">
        <f>4*0.36+2*0.5+20*0.075+2.5*0.05</f>
        <v>4.0649999999999995</v>
      </c>
      <c r="M4" s="32">
        <v>200</v>
      </c>
      <c r="N4" s="33" t="s">
        <v>105</v>
      </c>
      <c r="O4" s="32">
        <v>200</v>
      </c>
      <c r="P4" s="33" t="s">
        <v>106</v>
      </c>
      <c r="Q4" s="32">
        <v>200</v>
      </c>
      <c r="R4" s="33" t="s">
        <v>43</v>
      </c>
      <c r="S4" s="40" t="s">
        <v>207</v>
      </c>
      <c r="T4" s="13" t="s">
        <v>107</v>
      </c>
      <c r="U4" s="13" t="s">
        <v>75</v>
      </c>
      <c r="V4" s="6" t="s">
        <v>102</v>
      </c>
      <c r="W4" s="13" t="s">
        <v>108</v>
      </c>
      <c r="X4" s="6" t="s">
        <v>89</v>
      </c>
      <c r="Y4" s="6" t="s">
        <v>109</v>
      </c>
      <c r="Z4" s="6" t="s">
        <v>78</v>
      </c>
      <c r="AA4" s="6" t="s">
        <v>79</v>
      </c>
      <c r="AB4" s="6" t="s">
        <v>110</v>
      </c>
      <c r="AC4" s="6" t="s">
        <v>208</v>
      </c>
      <c r="AD4" s="6" t="s">
        <v>111</v>
      </c>
    </row>
    <row r="5" spans="1:33" x14ac:dyDescent="0.25">
      <c r="A5" s="3"/>
      <c r="B5" s="117" t="s">
        <v>4</v>
      </c>
      <c r="C5" s="8">
        <v>500</v>
      </c>
      <c r="D5" s="32">
        <v>1.9</v>
      </c>
      <c r="E5" s="32">
        <v>11</v>
      </c>
      <c r="F5" s="32" t="s">
        <v>34</v>
      </c>
      <c r="G5" s="32">
        <v>5.5</v>
      </c>
      <c r="H5" s="97">
        <f>150/0.85</f>
        <v>176.47058823529412</v>
      </c>
      <c r="I5" s="25"/>
      <c r="J5" s="25"/>
      <c r="K5" s="25"/>
      <c r="L5" s="78">
        <f>2*0.5</f>
        <v>1</v>
      </c>
      <c r="M5" s="67" t="s">
        <v>214</v>
      </c>
      <c r="N5" s="69" t="s">
        <v>100</v>
      </c>
      <c r="O5" s="25"/>
      <c r="P5" s="69" t="s">
        <v>85</v>
      </c>
      <c r="Q5" s="32"/>
      <c r="R5" s="33"/>
      <c r="S5" s="40" t="s">
        <v>98</v>
      </c>
      <c r="T5" s="13" t="s">
        <v>99</v>
      </c>
      <c r="U5" s="13" t="s">
        <v>89</v>
      </c>
      <c r="V5" s="13"/>
      <c r="W5" s="13"/>
      <c r="X5" s="13"/>
      <c r="Y5" s="13"/>
      <c r="Z5" s="13"/>
      <c r="AA5" s="13"/>
      <c r="AB5" s="13"/>
    </row>
    <row r="6" spans="1:33" x14ac:dyDescent="0.25">
      <c r="A6" s="3"/>
      <c r="B6" s="4" t="s">
        <v>13</v>
      </c>
      <c r="C6" s="5">
        <v>900</v>
      </c>
      <c r="D6" s="32">
        <v>2.5</v>
      </c>
      <c r="E6" s="32">
        <v>10.5</v>
      </c>
      <c r="F6" s="32" t="s">
        <v>34</v>
      </c>
      <c r="G6" s="32">
        <v>4.5</v>
      </c>
      <c r="H6" s="32">
        <v>145</v>
      </c>
      <c r="I6" s="32">
        <f>M6*0.18+O6*0.27</f>
        <v>94.5</v>
      </c>
      <c r="J6" s="32">
        <f>M6*0.46</f>
        <v>69</v>
      </c>
      <c r="K6" s="32">
        <v>0</v>
      </c>
      <c r="L6" s="78">
        <f>1.5*0.5</f>
        <v>0.75</v>
      </c>
      <c r="M6" s="32">
        <v>150</v>
      </c>
      <c r="N6" s="33" t="s">
        <v>50</v>
      </c>
      <c r="O6" s="32">
        <v>250</v>
      </c>
      <c r="P6" s="33" t="s">
        <v>101</v>
      </c>
      <c r="Q6" s="32"/>
      <c r="R6" s="33"/>
      <c r="S6" s="40" t="s">
        <v>102</v>
      </c>
      <c r="T6" s="13" t="s">
        <v>103</v>
      </c>
      <c r="U6" s="13" t="s">
        <v>48</v>
      </c>
      <c r="V6" s="13"/>
      <c r="W6" s="13"/>
      <c r="X6" s="13"/>
      <c r="Y6" s="13"/>
      <c r="Z6" s="13"/>
      <c r="AA6" s="13"/>
      <c r="AB6" s="13"/>
    </row>
    <row r="7" spans="1:33" x14ac:dyDescent="0.25">
      <c r="A7" s="3"/>
      <c r="B7" s="4" t="s">
        <v>14</v>
      </c>
      <c r="C7" s="5">
        <v>80</v>
      </c>
      <c r="D7" s="32">
        <v>2.7</v>
      </c>
      <c r="E7" s="32">
        <v>9</v>
      </c>
      <c r="F7" s="32" t="s">
        <v>34</v>
      </c>
      <c r="G7" s="25">
        <v>4.2</v>
      </c>
      <c r="H7" s="32">
        <v>140</v>
      </c>
      <c r="I7" s="32">
        <f>M7*0.21+O7*0.46</f>
        <v>100.5</v>
      </c>
      <c r="J7" s="32">
        <v>0</v>
      </c>
      <c r="K7" s="32">
        <v>0</v>
      </c>
      <c r="L7" s="78">
        <f>2*0.5</f>
        <v>1</v>
      </c>
      <c r="M7" s="32">
        <v>150</v>
      </c>
      <c r="N7" s="33" t="s">
        <v>95</v>
      </c>
      <c r="O7" s="32">
        <v>150</v>
      </c>
      <c r="P7" s="33" t="s">
        <v>43</v>
      </c>
      <c r="Q7" s="32"/>
      <c r="R7" s="33"/>
      <c r="S7" s="40" t="s">
        <v>98</v>
      </c>
      <c r="T7" s="13" t="s">
        <v>104</v>
      </c>
      <c r="U7" s="13" t="s">
        <v>89</v>
      </c>
      <c r="V7" s="13"/>
      <c r="W7" s="13"/>
      <c r="X7" s="13"/>
      <c r="Y7" s="13"/>
      <c r="Z7" s="13"/>
      <c r="AA7" s="13"/>
      <c r="AB7" s="13"/>
    </row>
    <row r="8" spans="1:33" x14ac:dyDescent="0.25">
      <c r="A8" s="3"/>
      <c r="B8" s="6" t="s">
        <v>11</v>
      </c>
      <c r="C8" s="8">
        <v>140</v>
      </c>
      <c r="D8" s="32">
        <v>2</v>
      </c>
      <c r="E8" s="32">
        <v>9</v>
      </c>
      <c r="F8" s="32" t="s">
        <v>34</v>
      </c>
      <c r="G8" s="32">
        <v>4</v>
      </c>
      <c r="H8" s="97">
        <f>50/0.85</f>
        <v>58.82352941176471</v>
      </c>
      <c r="I8" s="32">
        <f>O8*0.27+Q8*0.46</f>
        <v>86.5</v>
      </c>
      <c r="J8" s="32">
        <f>M8*0.2</f>
        <v>40</v>
      </c>
      <c r="K8" s="32">
        <v>0</v>
      </c>
      <c r="L8" s="78">
        <f>2*0.5</f>
        <v>1</v>
      </c>
      <c r="M8" s="32">
        <v>200</v>
      </c>
      <c r="N8" s="33" t="s">
        <v>112</v>
      </c>
      <c r="O8" s="32">
        <v>150</v>
      </c>
      <c r="P8" s="33" t="s">
        <v>101</v>
      </c>
      <c r="Q8" s="32">
        <v>100</v>
      </c>
      <c r="R8" s="33" t="s">
        <v>43</v>
      </c>
      <c r="S8" s="40" t="s">
        <v>102</v>
      </c>
      <c r="T8" s="13" t="s">
        <v>108</v>
      </c>
      <c r="U8" s="13" t="s">
        <v>89</v>
      </c>
      <c r="V8" s="13"/>
      <c r="W8" s="13"/>
      <c r="X8" s="13"/>
      <c r="Y8" s="13"/>
      <c r="Z8" s="13"/>
      <c r="AA8" s="13"/>
      <c r="AB8" s="13"/>
    </row>
    <row r="9" spans="1:33" x14ac:dyDescent="0.25">
      <c r="A9" s="3"/>
      <c r="B9" s="6" t="s">
        <v>1</v>
      </c>
      <c r="C9" s="9">
        <v>200</v>
      </c>
      <c r="D9" s="32">
        <v>2.5</v>
      </c>
      <c r="E9" s="32">
        <v>11</v>
      </c>
      <c r="F9" s="25" t="s">
        <v>34</v>
      </c>
      <c r="G9" s="32">
        <v>5</v>
      </c>
      <c r="H9" s="32">
        <v>75</v>
      </c>
      <c r="I9" s="32">
        <f>M9*0.05+O9*0.21</f>
        <v>109</v>
      </c>
      <c r="J9" s="32">
        <f>M9*0.05</f>
        <v>25</v>
      </c>
      <c r="K9" s="32">
        <f>M9*0.05</f>
        <v>25</v>
      </c>
      <c r="L9" s="78">
        <f>1.5*0.679</f>
        <v>1.0185</v>
      </c>
      <c r="M9" s="32">
        <v>500</v>
      </c>
      <c r="N9" s="33" t="s">
        <v>94</v>
      </c>
      <c r="O9" s="32">
        <v>400</v>
      </c>
      <c r="P9" s="33" t="s">
        <v>95</v>
      </c>
      <c r="Q9" s="32"/>
      <c r="R9" s="33"/>
      <c r="S9" s="40" t="s">
        <v>96</v>
      </c>
      <c r="T9" s="13" t="s">
        <v>97</v>
      </c>
      <c r="U9" s="13" t="s">
        <v>39</v>
      </c>
      <c r="V9" s="13"/>
      <c r="W9" s="13"/>
      <c r="X9" s="13"/>
      <c r="Y9" s="13"/>
      <c r="Z9" s="13"/>
      <c r="AA9" s="13"/>
      <c r="AB9" s="13"/>
    </row>
    <row r="10" spans="1:33" x14ac:dyDescent="0.25">
      <c r="A10" s="3"/>
      <c r="B10" s="6" t="s">
        <v>406</v>
      </c>
      <c r="C10" s="9">
        <v>93.8</v>
      </c>
      <c r="D10" s="32">
        <v>2.8</v>
      </c>
      <c r="E10" s="32">
        <v>9.5</v>
      </c>
      <c r="F10" s="32" t="s">
        <v>34</v>
      </c>
      <c r="G10" s="32">
        <v>4</v>
      </c>
      <c r="H10" s="34">
        <v>125</v>
      </c>
      <c r="I10" s="34">
        <f t="shared" ref="I10:I15" si="0">M10*0.46</f>
        <v>82.8</v>
      </c>
      <c r="J10" s="34">
        <v>0</v>
      </c>
      <c r="K10" s="34">
        <v>0</v>
      </c>
      <c r="L10" s="68">
        <f t="shared" ref="L10:L15" si="1">10*0.005+1.5*0.5+2*0.45+1*0.1+0.2*0.1</f>
        <v>1.8200000000000003</v>
      </c>
      <c r="M10" s="34">
        <v>180</v>
      </c>
      <c r="N10" s="35" t="s">
        <v>356</v>
      </c>
      <c r="O10" s="32"/>
      <c r="P10" s="33"/>
      <c r="Q10" s="32"/>
      <c r="R10" s="33"/>
      <c r="S10" s="40" t="s">
        <v>410</v>
      </c>
      <c r="T10" s="6" t="s">
        <v>411</v>
      </c>
      <c r="U10" s="6" t="s">
        <v>298</v>
      </c>
      <c r="V10" s="6" t="s">
        <v>102</v>
      </c>
      <c r="W10" s="6" t="s">
        <v>108</v>
      </c>
      <c r="X10" s="6" t="s">
        <v>48</v>
      </c>
      <c r="Y10" s="4" t="s">
        <v>52</v>
      </c>
      <c r="Z10" s="4" t="s">
        <v>47</v>
      </c>
      <c r="AA10" s="6" t="s">
        <v>89</v>
      </c>
      <c r="AB10" s="6" t="s">
        <v>144</v>
      </c>
      <c r="AC10" s="4" t="s">
        <v>153</v>
      </c>
      <c r="AD10" s="6" t="s">
        <v>40</v>
      </c>
      <c r="AE10" s="6" t="s">
        <v>412</v>
      </c>
      <c r="AF10" s="6" t="s">
        <v>413</v>
      </c>
      <c r="AG10" s="6" t="s">
        <v>414</v>
      </c>
    </row>
    <row r="11" spans="1:33" x14ac:dyDescent="0.25">
      <c r="A11" s="3"/>
      <c r="B11" s="6" t="s">
        <v>415</v>
      </c>
      <c r="C11" s="9">
        <v>5</v>
      </c>
      <c r="D11" s="32">
        <v>2.6</v>
      </c>
      <c r="E11" s="32">
        <v>9.5</v>
      </c>
      <c r="F11" s="32" t="s">
        <v>34</v>
      </c>
      <c r="G11" s="32">
        <v>4</v>
      </c>
      <c r="H11" s="34">
        <v>125</v>
      </c>
      <c r="I11" s="34">
        <f t="shared" si="0"/>
        <v>82.8</v>
      </c>
      <c r="J11" s="34">
        <v>0</v>
      </c>
      <c r="K11" s="34">
        <v>0</v>
      </c>
      <c r="L11" s="68">
        <f t="shared" si="1"/>
        <v>1.8200000000000003</v>
      </c>
      <c r="M11" s="34">
        <v>180</v>
      </c>
      <c r="N11" s="35" t="s">
        <v>356</v>
      </c>
      <c r="O11" s="32"/>
      <c r="P11" s="33"/>
      <c r="Q11" s="32"/>
      <c r="R11" s="33"/>
      <c r="S11" s="40" t="s">
        <v>410</v>
      </c>
      <c r="T11" s="6" t="s">
        <v>411</v>
      </c>
      <c r="U11" s="6" t="s">
        <v>298</v>
      </c>
      <c r="V11" s="6" t="s">
        <v>102</v>
      </c>
      <c r="W11" s="6" t="s">
        <v>108</v>
      </c>
      <c r="X11" s="6" t="s">
        <v>48</v>
      </c>
      <c r="Y11" s="4" t="s">
        <v>52</v>
      </c>
      <c r="Z11" s="4" t="s">
        <v>47</v>
      </c>
      <c r="AA11" s="6" t="s">
        <v>89</v>
      </c>
      <c r="AB11" s="6" t="s">
        <v>144</v>
      </c>
      <c r="AC11" s="4" t="s">
        <v>153</v>
      </c>
      <c r="AD11" s="6" t="s">
        <v>40</v>
      </c>
      <c r="AE11" s="6" t="s">
        <v>412</v>
      </c>
      <c r="AF11" s="6" t="s">
        <v>413</v>
      </c>
      <c r="AG11" s="6" t="s">
        <v>414</v>
      </c>
    </row>
    <row r="12" spans="1:33" x14ac:dyDescent="0.25">
      <c r="A12" s="3"/>
      <c r="B12" s="6" t="s">
        <v>2</v>
      </c>
      <c r="C12" s="9">
        <v>54.3</v>
      </c>
      <c r="D12" s="32">
        <v>2.6</v>
      </c>
      <c r="E12" s="32">
        <v>9.5</v>
      </c>
      <c r="F12" s="32" t="s">
        <v>34</v>
      </c>
      <c r="G12" s="32">
        <v>4</v>
      </c>
      <c r="H12" s="34">
        <v>120</v>
      </c>
      <c r="I12" s="34">
        <f t="shared" si="0"/>
        <v>82.8</v>
      </c>
      <c r="J12" s="34">
        <v>0</v>
      </c>
      <c r="K12" s="34">
        <v>0</v>
      </c>
      <c r="L12" s="68">
        <f t="shared" si="1"/>
        <v>1.8200000000000003</v>
      </c>
      <c r="M12" s="34">
        <v>180</v>
      </c>
      <c r="N12" s="35" t="s">
        <v>356</v>
      </c>
      <c r="O12" s="32"/>
      <c r="P12" s="33"/>
      <c r="Q12" s="32"/>
      <c r="R12" s="33"/>
      <c r="S12" s="40" t="s">
        <v>410</v>
      </c>
      <c r="T12" s="6" t="s">
        <v>411</v>
      </c>
      <c r="U12" s="6" t="s">
        <v>298</v>
      </c>
      <c r="V12" s="6" t="s">
        <v>102</v>
      </c>
      <c r="W12" s="6" t="s">
        <v>108</v>
      </c>
      <c r="X12" s="6" t="s">
        <v>48</v>
      </c>
      <c r="Y12" s="4" t="s">
        <v>52</v>
      </c>
      <c r="Z12" s="4" t="s">
        <v>47</v>
      </c>
      <c r="AA12" s="6" t="s">
        <v>89</v>
      </c>
      <c r="AB12" s="6" t="s">
        <v>144</v>
      </c>
      <c r="AC12" s="4" t="s">
        <v>153</v>
      </c>
      <c r="AD12" s="6" t="s">
        <v>40</v>
      </c>
      <c r="AE12" s="6" t="s">
        <v>412</v>
      </c>
      <c r="AF12" s="6" t="s">
        <v>413</v>
      </c>
      <c r="AG12" s="6" t="s">
        <v>414</v>
      </c>
    </row>
    <row r="13" spans="1:33" x14ac:dyDescent="0.25">
      <c r="A13" s="3"/>
      <c r="B13" s="6" t="s">
        <v>3</v>
      </c>
      <c r="C13" s="9">
        <v>133.4</v>
      </c>
      <c r="D13" s="32">
        <v>3.4</v>
      </c>
      <c r="E13" s="32">
        <v>9.5</v>
      </c>
      <c r="F13" s="32" t="s">
        <v>34</v>
      </c>
      <c r="G13" s="32">
        <v>4</v>
      </c>
      <c r="H13" s="34">
        <v>110</v>
      </c>
      <c r="I13" s="34">
        <f t="shared" si="0"/>
        <v>82.8</v>
      </c>
      <c r="J13" s="34">
        <v>0</v>
      </c>
      <c r="K13" s="34">
        <v>0</v>
      </c>
      <c r="L13" s="68">
        <f t="shared" si="1"/>
        <v>1.8200000000000003</v>
      </c>
      <c r="M13" s="34">
        <v>180</v>
      </c>
      <c r="N13" s="35" t="s">
        <v>356</v>
      </c>
      <c r="O13" s="32"/>
      <c r="P13" s="33"/>
      <c r="Q13" s="32"/>
      <c r="R13" s="33"/>
      <c r="S13" s="40" t="s">
        <v>410</v>
      </c>
      <c r="T13" s="6" t="s">
        <v>411</v>
      </c>
      <c r="U13" s="6" t="s">
        <v>298</v>
      </c>
      <c r="V13" s="6" t="s">
        <v>102</v>
      </c>
      <c r="W13" s="6" t="s">
        <v>108</v>
      </c>
      <c r="X13" s="6" t="s">
        <v>48</v>
      </c>
      <c r="Y13" s="4" t="s">
        <v>52</v>
      </c>
      <c r="Z13" s="4" t="s">
        <v>47</v>
      </c>
      <c r="AA13" s="6" t="s">
        <v>89</v>
      </c>
      <c r="AB13" s="6" t="s">
        <v>144</v>
      </c>
      <c r="AC13" s="4" t="s">
        <v>153</v>
      </c>
      <c r="AD13" s="6" t="s">
        <v>40</v>
      </c>
      <c r="AE13" s="6" t="s">
        <v>412</v>
      </c>
      <c r="AF13" s="6" t="s">
        <v>413</v>
      </c>
      <c r="AG13" s="6" t="s">
        <v>414</v>
      </c>
    </row>
    <row r="14" spans="1:33" x14ac:dyDescent="0.25">
      <c r="A14" s="3"/>
      <c r="B14" s="6" t="s">
        <v>1</v>
      </c>
      <c r="C14" s="9">
        <v>27.5</v>
      </c>
      <c r="D14" s="32">
        <v>3.2</v>
      </c>
      <c r="E14" s="32">
        <v>9.5</v>
      </c>
      <c r="F14" s="32" t="s">
        <v>34</v>
      </c>
      <c r="G14" s="32">
        <v>4</v>
      </c>
      <c r="H14" s="34">
        <v>100</v>
      </c>
      <c r="I14" s="34">
        <f t="shared" si="0"/>
        <v>82.8</v>
      </c>
      <c r="J14" s="34">
        <v>0</v>
      </c>
      <c r="K14" s="34">
        <v>0</v>
      </c>
      <c r="L14" s="68">
        <f t="shared" si="1"/>
        <v>1.8200000000000003</v>
      </c>
      <c r="M14" s="34">
        <v>180</v>
      </c>
      <c r="N14" s="35" t="s">
        <v>356</v>
      </c>
      <c r="O14" s="32"/>
      <c r="P14" s="33"/>
      <c r="Q14" s="32"/>
      <c r="R14" s="33"/>
      <c r="S14" s="40" t="s">
        <v>410</v>
      </c>
      <c r="T14" s="6" t="s">
        <v>411</v>
      </c>
      <c r="U14" s="6" t="s">
        <v>298</v>
      </c>
      <c r="V14" s="6" t="s">
        <v>102</v>
      </c>
      <c r="W14" s="6" t="s">
        <v>108</v>
      </c>
      <c r="X14" s="6" t="s">
        <v>48</v>
      </c>
      <c r="Y14" s="4" t="s">
        <v>52</v>
      </c>
      <c r="Z14" s="4" t="s">
        <v>47</v>
      </c>
      <c r="AA14" s="6" t="s">
        <v>89</v>
      </c>
      <c r="AB14" s="6" t="s">
        <v>144</v>
      </c>
      <c r="AC14" s="4" t="s">
        <v>153</v>
      </c>
      <c r="AD14" s="6" t="s">
        <v>40</v>
      </c>
      <c r="AE14" s="6" t="s">
        <v>412</v>
      </c>
      <c r="AF14" s="6" t="s">
        <v>413</v>
      </c>
      <c r="AG14" s="6" t="s">
        <v>414</v>
      </c>
    </row>
    <row r="15" spans="1:33" x14ac:dyDescent="0.25">
      <c r="A15" s="3"/>
      <c r="B15" s="6" t="s">
        <v>408</v>
      </c>
      <c r="C15" s="9">
        <v>18.7</v>
      </c>
      <c r="D15" s="32">
        <v>2.4</v>
      </c>
      <c r="E15" s="32">
        <v>9.5</v>
      </c>
      <c r="F15" s="32" t="s">
        <v>34</v>
      </c>
      <c r="G15" s="32">
        <v>4</v>
      </c>
      <c r="H15" s="34">
        <v>125</v>
      </c>
      <c r="I15" s="34">
        <f t="shared" si="0"/>
        <v>82.8</v>
      </c>
      <c r="J15" s="34">
        <v>0</v>
      </c>
      <c r="K15" s="34">
        <v>0</v>
      </c>
      <c r="L15" s="68">
        <f t="shared" si="1"/>
        <v>1.8200000000000003</v>
      </c>
      <c r="M15" s="34">
        <v>180</v>
      </c>
      <c r="N15" s="35" t="s">
        <v>356</v>
      </c>
      <c r="O15" s="32"/>
      <c r="P15" s="33"/>
      <c r="Q15" s="32"/>
      <c r="R15" s="33"/>
      <c r="S15" s="40" t="s">
        <v>410</v>
      </c>
      <c r="T15" s="6" t="s">
        <v>411</v>
      </c>
      <c r="U15" s="6" t="s">
        <v>298</v>
      </c>
      <c r="V15" s="6" t="s">
        <v>102</v>
      </c>
      <c r="W15" s="6" t="s">
        <v>108</v>
      </c>
      <c r="X15" s="6" t="s">
        <v>48</v>
      </c>
      <c r="Y15" s="4" t="s">
        <v>52</v>
      </c>
      <c r="Z15" s="4" t="s">
        <v>47</v>
      </c>
      <c r="AA15" s="6" t="s">
        <v>89</v>
      </c>
      <c r="AB15" s="6" t="s">
        <v>144</v>
      </c>
      <c r="AC15" s="4" t="s">
        <v>153</v>
      </c>
      <c r="AD15" s="6" t="s">
        <v>40</v>
      </c>
      <c r="AE15" s="6" t="s">
        <v>412</v>
      </c>
      <c r="AF15" s="6" t="s">
        <v>413</v>
      </c>
      <c r="AG15" s="6" t="s">
        <v>414</v>
      </c>
    </row>
    <row r="16" spans="1:33" x14ac:dyDescent="0.25">
      <c r="A16" s="3"/>
      <c r="B16" s="6" t="s">
        <v>438</v>
      </c>
      <c r="C16" s="9">
        <v>20</v>
      </c>
      <c r="D16" s="32">
        <v>2.5</v>
      </c>
      <c r="E16" s="32">
        <v>13</v>
      </c>
      <c r="F16" s="32" t="s">
        <v>34</v>
      </c>
      <c r="G16" s="32">
        <v>5</v>
      </c>
      <c r="H16" s="34">
        <v>110</v>
      </c>
      <c r="I16" s="34">
        <f>M16*0.21</f>
        <v>56.699999999999996</v>
      </c>
      <c r="J16" s="34">
        <v>0</v>
      </c>
      <c r="K16" s="34">
        <v>0</v>
      </c>
      <c r="L16" s="68">
        <f>12*0.005+1.5*0.5+1*0.1+0.2*0.1+2*0.5</f>
        <v>1.9300000000000002</v>
      </c>
      <c r="M16" s="34">
        <v>270</v>
      </c>
      <c r="N16" s="35" t="s">
        <v>454</v>
      </c>
      <c r="O16" s="32"/>
      <c r="P16" s="33"/>
      <c r="Q16" s="32"/>
      <c r="R16" s="33"/>
      <c r="S16" s="40" t="s">
        <v>410</v>
      </c>
      <c r="T16" s="6" t="s">
        <v>411</v>
      </c>
      <c r="U16" s="6" t="s">
        <v>451</v>
      </c>
      <c r="V16" s="6" t="s">
        <v>98</v>
      </c>
      <c r="W16" s="6" t="s">
        <v>108</v>
      </c>
      <c r="X16" s="6" t="s">
        <v>48</v>
      </c>
      <c r="Y16" s="6" t="s">
        <v>144</v>
      </c>
      <c r="Z16" s="4" t="s">
        <v>153</v>
      </c>
      <c r="AA16" s="6" t="s">
        <v>40</v>
      </c>
      <c r="AB16" s="6" t="s">
        <v>412</v>
      </c>
      <c r="AC16" s="6" t="s">
        <v>413</v>
      </c>
      <c r="AD16" s="6" t="s">
        <v>414</v>
      </c>
      <c r="AE16" s="6" t="s">
        <v>452</v>
      </c>
      <c r="AF16" s="6" t="s">
        <v>453</v>
      </c>
      <c r="AG16" s="6" t="s">
        <v>89</v>
      </c>
    </row>
    <row r="17" spans="1:36" x14ac:dyDescent="0.25">
      <c r="A17" s="209" t="s">
        <v>15</v>
      </c>
      <c r="B17" s="44" t="s">
        <v>25</v>
      </c>
      <c r="C17" s="119">
        <v>1600</v>
      </c>
      <c r="D17" s="41">
        <v>3.35</v>
      </c>
      <c r="E17" s="41">
        <v>9</v>
      </c>
      <c r="F17" s="41" t="s">
        <v>34</v>
      </c>
      <c r="G17" s="48">
        <v>2.4</v>
      </c>
      <c r="H17" s="48" t="s">
        <v>17</v>
      </c>
      <c r="I17" s="41">
        <f>M17*0.21</f>
        <v>115.5</v>
      </c>
      <c r="J17" s="41">
        <v>0</v>
      </c>
      <c r="K17" s="41">
        <v>0</v>
      </c>
      <c r="L17" s="79">
        <f>1.75*0.5</f>
        <v>0.875</v>
      </c>
      <c r="M17" s="41">
        <v>550</v>
      </c>
      <c r="N17" s="42" t="s">
        <v>95</v>
      </c>
      <c r="O17" s="41"/>
      <c r="P17" s="42"/>
      <c r="Q17" s="41"/>
      <c r="R17" s="42"/>
      <c r="S17" s="43" t="s">
        <v>194</v>
      </c>
      <c r="T17" s="44" t="s">
        <v>104</v>
      </c>
      <c r="U17" s="44" t="s">
        <v>186</v>
      </c>
      <c r="V17" s="44" t="s">
        <v>17</v>
      </c>
      <c r="W17" s="44" t="s">
        <v>195</v>
      </c>
      <c r="X17" s="44" t="s">
        <v>17</v>
      </c>
      <c r="Y17" s="44"/>
      <c r="Z17" s="44"/>
      <c r="AA17" s="44"/>
      <c r="AB17" s="44"/>
      <c r="AC17" s="31"/>
      <c r="AD17" s="31"/>
    </row>
    <row r="18" spans="1:36" x14ac:dyDescent="0.25">
      <c r="A18" s="4"/>
      <c r="B18" s="6" t="s">
        <v>19</v>
      </c>
      <c r="C18" s="6">
        <v>61.6</v>
      </c>
      <c r="D18" s="51">
        <v>3.6</v>
      </c>
      <c r="E18" s="34">
        <v>9.5</v>
      </c>
      <c r="F18" s="34" t="s">
        <v>34</v>
      </c>
      <c r="G18" s="34">
        <v>4</v>
      </c>
      <c r="H18" s="34">
        <v>110</v>
      </c>
      <c r="I18" s="34">
        <f>M18*0.46</f>
        <v>92</v>
      </c>
      <c r="J18" s="34">
        <v>0</v>
      </c>
      <c r="K18" s="34">
        <v>0</v>
      </c>
      <c r="L18" s="68">
        <f t="shared" ref="L18:L62" si="2">10*0.005+1.5*0.5+2*0.45+1*0.1+0.2*0.1</f>
        <v>1.8200000000000003</v>
      </c>
      <c r="M18" s="34">
        <v>200</v>
      </c>
      <c r="N18" s="35" t="s">
        <v>356</v>
      </c>
      <c r="O18" s="34"/>
      <c r="P18" s="35"/>
      <c r="Q18" s="34"/>
      <c r="R18" s="35"/>
      <c r="S18" s="40" t="s">
        <v>410</v>
      </c>
      <c r="T18" s="6" t="s">
        <v>411</v>
      </c>
      <c r="U18" s="6" t="s">
        <v>298</v>
      </c>
      <c r="V18" s="6" t="s">
        <v>102</v>
      </c>
      <c r="W18" s="6" t="s">
        <v>108</v>
      </c>
      <c r="X18" s="6" t="s">
        <v>48</v>
      </c>
      <c r="Y18" s="4" t="s">
        <v>52</v>
      </c>
      <c r="Z18" s="4" t="s">
        <v>47</v>
      </c>
      <c r="AA18" s="6" t="s">
        <v>89</v>
      </c>
      <c r="AB18" s="6" t="s">
        <v>144</v>
      </c>
      <c r="AC18" s="4" t="s">
        <v>153</v>
      </c>
      <c r="AD18" s="6" t="s">
        <v>40</v>
      </c>
      <c r="AE18" s="6" t="s">
        <v>412</v>
      </c>
      <c r="AF18" s="6" t="s">
        <v>413</v>
      </c>
      <c r="AG18" s="6" t="s">
        <v>414</v>
      </c>
    </row>
    <row r="19" spans="1:36" x14ac:dyDescent="0.25">
      <c r="A19" s="4"/>
      <c r="B19" s="6" t="s">
        <v>437</v>
      </c>
      <c r="C19" s="77">
        <v>7.5</v>
      </c>
      <c r="D19" s="34">
        <v>3.9</v>
      </c>
      <c r="E19" s="34">
        <v>9.5</v>
      </c>
      <c r="F19" s="34" t="s">
        <v>34</v>
      </c>
      <c r="G19" s="34">
        <v>4</v>
      </c>
      <c r="H19" s="34">
        <v>120</v>
      </c>
      <c r="I19" s="34">
        <f>M19*0.46</f>
        <v>92</v>
      </c>
      <c r="J19" s="34">
        <v>0</v>
      </c>
      <c r="K19" s="34">
        <v>0</v>
      </c>
      <c r="L19" s="68">
        <f t="shared" si="2"/>
        <v>1.8200000000000003</v>
      </c>
      <c r="M19" s="34">
        <v>200</v>
      </c>
      <c r="N19" s="35" t="s">
        <v>356</v>
      </c>
      <c r="O19" s="34"/>
      <c r="P19" s="35"/>
      <c r="Q19" s="34"/>
      <c r="R19" s="35"/>
      <c r="S19" s="40" t="s">
        <v>410</v>
      </c>
      <c r="T19" s="6" t="s">
        <v>411</v>
      </c>
      <c r="U19" s="6" t="s">
        <v>298</v>
      </c>
      <c r="V19" s="6" t="s">
        <v>102</v>
      </c>
      <c r="W19" s="6" t="s">
        <v>108</v>
      </c>
      <c r="X19" s="6" t="s">
        <v>48</v>
      </c>
      <c r="Y19" s="4" t="s">
        <v>52</v>
      </c>
      <c r="Z19" s="4" t="s">
        <v>47</v>
      </c>
      <c r="AA19" s="6" t="s">
        <v>89</v>
      </c>
      <c r="AB19" s="6" t="s">
        <v>144</v>
      </c>
      <c r="AC19" s="4" t="s">
        <v>153</v>
      </c>
      <c r="AD19" s="6" t="s">
        <v>40</v>
      </c>
      <c r="AE19" s="6" t="s">
        <v>412</v>
      </c>
      <c r="AF19" s="6" t="s">
        <v>413</v>
      </c>
      <c r="AG19" s="6" t="s">
        <v>414</v>
      </c>
    </row>
    <row r="20" spans="1:36" x14ac:dyDescent="0.25">
      <c r="A20" s="4"/>
      <c r="B20" s="6" t="s">
        <v>21</v>
      </c>
      <c r="C20" s="77">
        <v>24.7</v>
      </c>
      <c r="D20" s="34">
        <v>4</v>
      </c>
      <c r="E20" s="34">
        <v>9.5</v>
      </c>
      <c r="F20" s="34" t="s">
        <v>34</v>
      </c>
      <c r="G20" s="34">
        <v>4</v>
      </c>
      <c r="H20" s="34">
        <v>120</v>
      </c>
      <c r="I20" s="34">
        <f>M20*0.46</f>
        <v>92</v>
      </c>
      <c r="J20" s="34">
        <v>0</v>
      </c>
      <c r="K20" s="34">
        <v>0</v>
      </c>
      <c r="L20" s="68">
        <f t="shared" si="2"/>
        <v>1.8200000000000003</v>
      </c>
      <c r="M20" s="34">
        <v>200</v>
      </c>
      <c r="N20" s="35" t="s">
        <v>356</v>
      </c>
      <c r="O20" s="34"/>
      <c r="P20" s="35"/>
      <c r="Q20" s="34"/>
      <c r="R20" s="35"/>
      <c r="S20" s="40" t="s">
        <v>410</v>
      </c>
      <c r="T20" s="6" t="s">
        <v>411</v>
      </c>
      <c r="U20" s="6" t="s">
        <v>298</v>
      </c>
      <c r="V20" s="6" t="s">
        <v>102</v>
      </c>
      <c r="W20" s="6" t="s">
        <v>108</v>
      </c>
      <c r="X20" s="6" t="s">
        <v>48</v>
      </c>
      <c r="Y20" s="4" t="s">
        <v>52</v>
      </c>
      <c r="Z20" s="4" t="s">
        <v>47</v>
      </c>
      <c r="AA20" s="6" t="s">
        <v>89</v>
      </c>
      <c r="AB20" s="6" t="s">
        <v>144</v>
      </c>
      <c r="AC20" s="4" t="s">
        <v>153</v>
      </c>
      <c r="AD20" s="6" t="s">
        <v>40</v>
      </c>
      <c r="AE20" s="6" t="s">
        <v>412</v>
      </c>
      <c r="AF20" s="6" t="s">
        <v>413</v>
      </c>
      <c r="AG20" s="6" t="s">
        <v>414</v>
      </c>
    </row>
    <row r="21" spans="1:36" x14ac:dyDescent="0.25">
      <c r="A21" s="4"/>
      <c r="B21" s="6" t="s">
        <v>27</v>
      </c>
      <c r="C21" s="77">
        <v>157.6</v>
      </c>
      <c r="D21" s="34">
        <v>3.8</v>
      </c>
      <c r="E21" s="34">
        <v>9.5</v>
      </c>
      <c r="F21" s="34" t="s">
        <v>34</v>
      </c>
      <c r="G21" s="34">
        <v>4</v>
      </c>
      <c r="H21" s="34">
        <v>110</v>
      </c>
      <c r="I21" s="34">
        <f>M21*0.46</f>
        <v>92</v>
      </c>
      <c r="J21" s="34">
        <v>0</v>
      </c>
      <c r="K21" s="34">
        <v>0</v>
      </c>
      <c r="L21" s="68">
        <f t="shared" si="2"/>
        <v>1.8200000000000003</v>
      </c>
      <c r="M21" s="34">
        <v>200</v>
      </c>
      <c r="N21" s="35" t="s">
        <v>356</v>
      </c>
      <c r="O21" s="34"/>
      <c r="P21" s="35"/>
      <c r="Q21" s="34"/>
      <c r="R21" s="35"/>
      <c r="S21" s="40" t="s">
        <v>410</v>
      </c>
      <c r="T21" s="6" t="s">
        <v>411</v>
      </c>
      <c r="U21" s="6" t="s">
        <v>298</v>
      </c>
      <c r="V21" s="6" t="s">
        <v>102</v>
      </c>
      <c r="W21" s="6" t="s">
        <v>108</v>
      </c>
      <c r="X21" s="6" t="s">
        <v>48</v>
      </c>
      <c r="Y21" s="4" t="s">
        <v>52</v>
      </c>
      <c r="Z21" s="4" t="s">
        <v>47</v>
      </c>
      <c r="AA21" s="6" t="s">
        <v>89</v>
      </c>
      <c r="AB21" s="6" t="s">
        <v>144</v>
      </c>
      <c r="AC21" s="4" t="s">
        <v>153</v>
      </c>
      <c r="AD21" s="6" t="s">
        <v>40</v>
      </c>
      <c r="AE21" s="6" t="s">
        <v>412</v>
      </c>
      <c r="AF21" s="6" t="s">
        <v>413</v>
      </c>
      <c r="AG21" s="6" t="s">
        <v>414</v>
      </c>
    </row>
    <row r="22" spans="1:36" x14ac:dyDescent="0.25">
      <c r="A22" s="4"/>
      <c r="B22" s="6" t="s">
        <v>29</v>
      </c>
      <c r="C22" s="77">
        <v>8.1999999999999993</v>
      </c>
      <c r="D22" s="34">
        <v>4</v>
      </c>
      <c r="E22" s="34">
        <v>9.5</v>
      </c>
      <c r="F22" s="34" t="s">
        <v>34</v>
      </c>
      <c r="G22" s="34">
        <v>4</v>
      </c>
      <c r="H22" s="34">
        <v>110</v>
      </c>
      <c r="I22" s="34">
        <f>M22*0.46</f>
        <v>92</v>
      </c>
      <c r="J22" s="34">
        <v>0</v>
      </c>
      <c r="K22" s="34">
        <v>0</v>
      </c>
      <c r="L22" s="68">
        <f t="shared" si="2"/>
        <v>1.8200000000000003</v>
      </c>
      <c r="M22" s="34">
        <v>200</v>
      </c>
      <c r="N22" s="35" t="s">
        <v>356</v>
      </c>
      <c r="O22" s="34"/>
      <c r="P22" s="35"/>
      <c r="Q22" s="34"/>
      <c r="R22" s="35"/>
      <c r="S22" s="40" t="s">
        <v>410</v>
      </c>
      <c r="T22" s="6" t="s">
        <v>411</v>
      </c>
      <c r="U22" s="6" t="s">
        <v>298</v>
      </c>
      <c r="V22" s="6" t="s">
        <v>102</v>
      </c>
      <c r="W22" s="6" t="s">
        <v>108</v>
      </c>
      <c r="X22" s="6" t="s">
        <v>48</v>
      </c>
      <c r="Y22" s="4" t="s">
        <v>52</v>
      </c>
      <c r="Z22" s="4" t="s">
        <v>47</v>
      </c>
      <c r="AA22" s="6" t="s">
        <v>89</v>
      </c>
      <c r="AB22" s="6" t="s">
        <v>144</v>
      </c>
      <c r="AC22" s="4" t="s">
        <v>153</v>
      </c>
      <c r="AD22" s="6" t="s">
        <v>40</v>
      </c>
      <c r="AE22" s="6" t="s">
        <v>412</v>
      </c>
      <c r="AF22" s="6" t="s">
        <v>413</v>
      </c>
      <c r="AG22" s="6" t="s">
        <v>414</v>
      </c>
    </row>
    <row r="23" spans="1:36" x14ac:dyDescent="0.25">
      <c r="A23" s="129" t="s">
        <v>8</v>
      </c>
      <c r="B23" s="6" t="s">
        <v>265</v>
      </c>
      <c r="C23" s="8">
        <v>2000</v>
      </c>
      <c r="D23" s="47">
        <v>2.5</v>
      </c>
      <c r="E23" s="41">
        <v>10</v>
      </c>
      <c r="F23" s="41" t="s">
        <v>34</v>
      </c>
      <c r="G23" s="41">
        <v>3.5</v>
      </c>
      <c r="H23" s="41">
        <v>105</v>
      </c>
      <c r="I23" s="41">
        <f>M23*0.21+O23*0.46</f>
        <v>111</v>
      </c>
      <c r="J23" s="41">
        <v>0</v>
      </c>
      <c r="K23" s="41">
        <v>0</v>
      </c>
      <c r="L23" s="41">
        <f>1.5*0.5+1*0.1+0.25*0.24+2*0.36</f>
        <v>1.63</v>
      </c>
      <c r="M23" s="41">
        <v>200</v>
      </c>
      <c r="N23" s="42" t="s">
        <v>95</v>
      </c>
      <c r="O23" s="41">
        <v>150</v>
      </c>
      <c r="P23" s="42" t="s">
        <v>43</v>
      </c>
      <c r="Q23" s="41"/>
      <c r="R23" s="42"/>
      <c r="S23" s="43" t="s">
        <v>102</v>
      </c>
      <c r="T23" s="44" t="s">
        <v>103</v>
      </c>
      <c r="U23" s="44" t="s">
        <v>48</v>
      </c>
      <c r="V23" s="44" t="s">
        <v>144</v>
      </c>
      <c r="W23" s="31" t="s">
        <v>230</v>
      </c>
      <c r="X23" s="44" t="s">
        <v>40</v>
      </c>
      <c r="Y23" s="44" t="s">
        <v>266</v>
      </c>
      <c r="Z23" s="44" t="s">
        <v>269</v>
      </c>
      <c r="AA23" s="44" t="s">
        <v>267</v>
      </c>
      <c r="AB23" s="44"/>
      <c r="AC23" s="31" t="s">
        <v>268</v>
      </c>
      <c r="AD23" s="31" t="s">
        <v>89</v>
      </c>
    </row>
    <row r="24" spans="1:36" x14ac:dyDescent="0.25">
      <c r="A24" s="6"/>
      <c r="B24" s="6" t="s">
        <v>265</v>
      </c>
      <c r="C24" s="8">
        <v>80</v>
      </c>
      <c r="D24" s="34">
        <v>2.6</v>
      </c>
      <c r="E24" s="34">
        <v>10</v>
      </c>
      <c r="F24" s="34" t="s">
        <v>34</v>
      </c>
      <c r="G24" s="34">
        <v>4.5</v>
      </c>
      <c r="H24" s="34">
        <v>168</v>
      </c>
      <c r="I24" s="34">
        <f>M24*0.21+O24*0.46</f>
        <v>176</v>
      </c>
      <c r="J24" s="34">
        <v>0</v>
      </c>
      <c r="K24" s="34">
        <v>0</v>
      </c>
      <c r="L24" s="68">
        <f>2*0.36+1.9*0.5+0.7*0.1+0.4*0.24</f>
        <v>1.8360000000000001</v>
      </c>
      <c r="M24" s="34">
        <v>400</v>
      </c>
      <c r="N24" s="35" t="s">
        <v>95</v>
      </c>
      <c r="O24" s="34">
        <v>200</v>
      </c>
      <c r="P24" s="35" t="s">
        <v>43</v>
      </c>
      <c r="Q24" s="34"/>
      <c r="R24" s="35"/>
      <c r="S24" s="40" t="s">
        <v>357</v>
      </c>
      <c r="T24" s="6" t="s">
        <v>107</v>
      </c>
      <c r="U24" s="6" t="s">
        <v>89</v>
      </c>
      <c r="V24" s="6" t="s">
        <v>102</v>
      </c>
      <c r="W24" s="6" t="s">
        <v>108</v>
      </c>
      <c r="X24" s="6" t="s">
        <v>127</v>
      </c>
      <c r="Y24" s="6" t="s">
        <v>144</v>
      </c>
      <c r="Z24" s="4" t="s">
        <v>153</v>
      </c>
      <c r="AA24" s="6" t="s">
        <v>151</v>
      </c>
      <c r="AB24" s="6" t="s">
        <v>266</v>
      </c>
      <c r="AC24" s="6" t="s">
        <v>269</v>
      </c>
      <c r="AD24" s="4" t="s">
        <v>148</v>
      </c>
    </row>
    <row r="25" spans="1:36" x14ac:dyDescent="0.25">
      <c r="A25" s="6"/>
      <c r="B25" s="6" t="s">
        <v>409</v>
      </c>
      <c r="C25" s="8">
        <v>227.7</v>
      </c>
      <c r="D25" s="34">
        <v>3.2</v>
      </c>
      <c r="E25" s="34">
        <v>9.5</v>
      </c>
      <c r="F25" s="34" t="s">
        <v>34</v>
      </c>
      <c r="G25" s="34">
        <v>4</v>
      </c>
      <c r="H25" s="34">
        <v>125</v>
      </c>
      <c r="I25" s="34">
        <f>M25*0.46</f>
        <v>82.8</v>
      </c>
      <c r="J25" s="34">
        <v>0</v>
      </c>
      <c r="K25" s="34">
        <v>0</v>
      </c>
      <c r="L25" s="68">
        <f>10*0.005+1.5*0.5+2*0.45+1*0.1+0.2*0.1</f>
        <v>1.8200000000000003</v>
      </c>
      <c r="M25" s="34">
        <v>180</v>
      </c>
      <c r="N25" s="35" t="s">
        <v>356</v>
      </c>
      <c r="O25" s="34"/>
      <c r="P25" s="35"/>
      <c r="Q25" s="34"/>
      <c r="R25" s="35"/>
      <c r="S25" s="40" t="s">
        <v>410</v>
      </c>
      <c r="T25" s="6" t="s">
        <v>411</v>
      </c>
      <c r="U25" s="6" t="s">
        <v>298</v>
      </c>
      <c r="V25" s="6" t="s">
        <v>102</v>
      </c>
      <c r="W25" s="6" t="s">
        <v>108</v>
      </c>
      <c r="X25" s="6" t="s">
        <v>48</v>
      </c>
      <c r="Y25" s="4" t="s">
        <v>52</v>
      </c>
      <c r="Z25" s="4" t="s">
        <v>47</v>
      </c>
      <c r="AA25" s="6" t="s">
        <v>89</v>
      </c>
      <c r="AB25" s="6" t="s">
        <v>144</v>
      </c>
      <c r="AC25" s="4" t="s">
        <v>153</v>
      </c>
      <c r="AD25" s="6" t="s">
        <v>40</v>
      </c>
      <c r="AE25" s="6" t="s">
        <v>412</v>
      </c>
      <c r="AF25" s="6" t="s">
        <v>413</v>
      </c>
      <c r="AG25" s="6" t="s">
        <v>414</v>
      </c>
    </row>
    <row r="26" spans="1:36" x14ac:dyDescent="0.25">
      <c r="A26" s="209" t="s">
        <v>270</v>
      </c>
      <c r="B26" s="44" t="s">
        <v>12</v>
      </c>
      <c r="C26" s="119">
        <v>400</v>
      </c>
      <c r="D26" s="41">
        <v>2.8</v>
      </c>
      <c r="E26" s="41">
        <v>9.5</v>
      </c>
      <c r="F26" s="41" t="s">
        <v>34</v>
      </c>
      <c r="G26" s="41">
        <v>5</v>
      </c>
      <c r="H26" s="41">
        <v>70</v>
      </c>
      <c r="I26" s="41">
        <f>O26*0.336</f>
        <v>50.400000000000006</v>
      </c>
      <c r="J26" s="41">
        <f>M26*0.35</f>
        <v>8.75</v>
      </c>
      <c r="K26" s="41">
        <v>0</v>
      </c>
      <c r="L26" s="79">
        <f>2*0.5</f>
        <v>1</v>
      </c>
      <c r="M26" s="41">
        <v>25</v>
      </c>
      <c r="N26" s="42" t="s">
        <v>113</v>
      </c>
      <c r="O26" s="41">
        <v>150</v>
      </c>
      <c r="P26" s="42" t="s">
        <v>114</v>
      </c>
      <c r="Q26" s="41"/>
      <c r="R26" s="42"/>
      <c r="S26" s="43" t="s">
        <v>102</v>
      </c>
      <c r="T26" s="44" t="s">
        <v>99</v>
      </c>
      <c r="U26" s="44" t="s">
        <v>89</v>
      </c>
      <c r="V26" s="44"/>
      <c r="W26" s="44"/>
      <c r="X26" s="44"/>
      <c r="Y26" s="44"/>
      <c r="Z26" s="44"/>
      <c r="AA26" s="44"/>
      <c r="AB26" s="44"/>
      <c r="AC26" s="31"/>
      <c r="AD26" s="31"/>
      <c r="AE26" s="31"/>
      <c r="AF26" s="31"/>
      <c r="AG26" s="31"/>
    </row>
    <row r="27" spans="1:36" x14ac:dyDescent="0.25">
      <c r="A27" s="4"/>
      <c r="B27" s="6" t="s">
        <v>399</v>
      </c>
      <c r="C27" s="77">
        <v>8</v>
      </c>
      <c r="D27" s="32">
        <v>2.8</v>
      </c>
      <c r="E27" s="32">
        <v>9.5</v>
      </c>
      <c r="F27" s="32" t="s">
        <v>34</v>
      </c>
      <c r="G27" s="32">
        <v>4</v>
      </c>
      <c r="H27" s="32">
        <v>120</v>
      </c>
      <c r="I27" s="32">
        <f t="shared" ref="I27:I32" si="3">M27*0.46</f>
        <v>82.8</v>
      </c>
      <c r="J27" s="32">
        <v>0</v>
      </c>
      <c r="K27" s="32">
        <v>0</v>
      </c>
      <c r="L27" s="78">
        <f>10*0.005+1.5*0.5+2*0.45+1*0.1+0.2*0.1</f>
        <v>1.8200000000000003</v>
      </c>
      <c r="M27" s="32">
        <v>180</v>
      </c>
      <c r="N27" s="33" t="s">
        <v>356</v>
      </c>
      <c r="O27" s="32"/>
      <c r="P27" s="33"/>
      <c r="Q27" s="32"/>
      <c r="R27" s="33"/>
      <c r="S27" s="40" t="s">
        <v>410</v>
      </c>
      <c r="T27" s="6" t="s">
        <v>411</v>
      </c>
      <c r="U27" s="13" t="s">
        <v>298</v>
      </c>
      <c r="V27" s="6" t="s">
        <v>102</v>
      </c>
      <c r="W27" s="6" t="s">
        <v>108</v>
      </c>
      <c r="X27" s="6" t="s">
        <v>48</v>
      </c>
      <c r="Y27" s="4" t="s">
        <v>52</v>
      </c>
      <c r="Z27" s="4" t="s">
        <v>47</v>
      </c>
      <c r="AA27" s="6" t="s">
        <v>89</v>
      </c>
      <c r="AB27" s="6" t="s">
        <v>144</v>
      </c>
      <c r="AC27" s="4" t="s">
        <v>153</v>
      </c>
      <c r="AD27" s="6" t="s">
        <v>40</v>
      </c>
      <c r="AE27" s="6" t="s">
        <v>412</v>
      </c>
      <c r="AF27" s="6" t="s">
        <v>413</v>
      </c>
      <c r="AG27" s="6" t="s">
        <v>414</v>
      </c>
    </row>
    <row r="28" spans="1:36" x14ac:dyDescent="0.25">
      <c r="A28" s="217" t="s">
        <v>291</v>
      </c>
      <c r="B28" s="44" t="s">
        <v>292</v>
      </c>
      <c r="C28" s="44">
        <v>283</v>
      </c>
      <c r="D28" s="52">
        <v>3.1</v>
      </c>
      <c r="E28" s="41">
        <v>9.5</v>
      </c>
      <c r="F28" s="41" t="s">
        <v>34</v>
      </c>
      <c r="G28" s="41">
        <v>4</v>
      </c>
      <c r="H28" s="41">
        <v>125</v>
      </c>
      <c r="I28" s="41">
        <f t="shared" si="3"/>
        <v>82.8</v>
      </c>
      <c r="J28" s="41">
        <v>0</v>
      </c>
      <c r="K28" s="41">
        <v>0</v>
      </c>
      <c r="L28" s="79">
        <f>10*0.005+1.5*0.5+2*0.45+1*0.1+0.2*0.1</f>
        <v>1.8200000000000003</v>
      </c>
      <c r="M28" s="41">
        <v>180</v>
      </c>
      <c r="N28" s="42" t="s">
        <v>356</v>
      </c>
      <c r="O28" s="41"/>
      <c r="P28" s="42"/>
      <c r="Q28" s="41"/>
      <c r="R28" s="42"/>
      <c r="S28" s="43" t="s">
        <v>410</v>
      </c>
      <c r="T28" s="44" t="s">
        <v>411</v>
      </c>
      <c r="U28" s="44" t="s">
        <v>298</v>
      </c>
      <c r="V28" s="44" t="s">
        <v>102</v>
      </c>
      <c r="W28" s="44" t="s">
        <v>108</v>
      </c>
      <c r="X28" s="44" t="s">
        <v>48</v>
      </c>
      <c r="Y28" s="31" t="s">
        <v>52</v>
      </c>
      <c r="Z28" s="31" t="s">
        <v>47</v>
      </c>
      <c r="AA28" s="44" t="s">
        <v>89</v>
      </c>
      <c r="AB28" s="44" t="s">
        <v>144</v>
      </c>
      <c r="AC28" s="31" t="s">
        <v>153</v>
      </c>
      <c r="AD28" s="44" t="s">
        <v>40</v>
      </c>
      <c r="AE28" s="44" t="s">
        <v>412</v>
      </c>
      <c r="AF28" s="44" t="s">
        <v>413</v>
      </c>
      <c r="AG28" s="44" t="s">
        <v>414</v>
      </c>
    </row>
    <row r="29" spans="1:36" x14ac:dyDescent="0.25">
      <c r="A29" s="6"/>
      <c r="B29" s="6" t="s">
        <v>380</v>
      </c>
      <c r="C29" s="6">
        <v>1</v>
      </c>
      <c r="D29" s="51">
        <v>2.5</v>
      </c>
      <c r="E29" s="34">
        <v>9.5</v>
      </c>
      <c r="F29" s="34" t="s">
        <v>34</v>
      </c>
      <c r="G29" s="34">
        <v>4</v>
      </c>
      <c r="H29" s="34">
        <v>125</v>
      </c>
      <c r="I29" s="34">
        <f t="shared" si="3"/>
        <v>82.8</v>
      </c>
      <c r="J29" s="34">
        <v>0</v>
      </c>
      <c r="K29" s="34">
        <v>0</v>
      </c>
      <c r="L29" s="68">
        <f>10*0.005+1.5*0.5+2*0.45+1*0.1+0.2*0.1</f>
        <v>1.8200000000000003</v>
      </c>
      <c r="M29" s="34">
        <v>180</v>
      </c>
      <c r="N29" s="35" t="s">
        <v>356</v>
      </c>
      <c r="O29" s="34"/>
      <c r="P29" s="35"/>
      <c r="Q29" s="34"/>
      <c r="R29" s="35"/>
      <c r="S29" s="40" t="s">
        <v>410</v>
      </c>
      <c r="T29" s="6" t="s">
        <v>411</v>
      </c>
      <c r="U29" s="6" t="s">
        <v>298</v>
      </c>
      <c r="V29" s="6" t="s">
        <v>102</v>
      </c>
      <c r="W29" s="6" t="s">
        <v>108</v>
      </c>
      <c r="X29" s="6" t="s">
        <v>48</v>
      </c>
      <c r="Y29" s="4" t="s">
        <v>52</v>
      </c>
      <c r="Z29" s="4" t="s">
        <v>47</v>
      </c>
      <c r="AA29" s="6" t="s">
        <v>89</v>
      </c>
      <c r="AB29" s="6" t="s">
        <v>144</v>
      </c>
      <c r="AC29" s="4" t="s">
        <v>153</v>
      </c>
      <c r="AD29" s="6" t="s">
        <v>40</v>
      </c>
      <c r="AE29" s="6" t="s">
        <v>412</v>
      </c>
      <c r="AF29" s="6" t="s">
        <v>413</v>
      </c>
      <c r="AG29" s="6" t="s">
        <v>414</v>
      </c>
    </row>
    <row r="30" spans="1:36" x14ac:dyDescent="0.25">
      <c r="A30" s="6"/>
      <c r="B30" s="6" t="s">
        <v>293</v>
      </c>
      <c r="C30" s="6">
        <v>55.7</v>
      </c>
      <c r="D30" s="51">
        <v>3.1</v>
      </c>
      <c r="E30" s="34">
        <v>9.5</v>
      </c>
      <c r="F30" s="34" t="s">
        <v>34</v>
      </c>
      <c r="G30" s="34">
        <v>4</v>
      </c>
      <c r="H30" s="34">
        <v>125</v>
      </c>
      <c r="I30" s="34">
        <f t="shared" si="3"/>
        <v>82.8</v>
      </c>
      <c r="J30" s="34">
        <v>0</v>
      </c>
      <c r="K30" s="34">
        <v>0</v>
      </c>
      <c r="L30" s="68">
        <f>10*0.005+1.5*0.5+2*0.45+1*0.1+0.2*0.1</f>
        <v>1.8200000000000003</v>
      </c>
      <c r="M30" s="34">
        <v>180</v>
      </c>
      <c r="N30" s="35" t="s">
        <v>356</v>
      </c>
      <c r="O30" s="34"/>
      <c r="P30" s="35"/>
      <c r="Q30" s="34"/>
      <c r="R30" s="35"/>
      <c r="S30" s="40" t="s">
        <v>410</v>
      </c>
      <c r="T30" s="6" t="s">
        <v>411</v>
      </c>
      <c r="U30" s="6" t="s">
        <v>298</v>
      </c>
      <c r="V30" s="6" t="s">
        <v>102</v>
      </c>
      <c r="W30" s="6" t="s">
        <v>108</v>
      </c>
      <c r="X30" s="6" t="s">
        <v>48</v>
      </c>
      <c r="Y30" s="4" t="s">
        <v>52</v>
      </c>
      <c r="Z30" s="4" t="s">
        <v>47</v>
      </c>
      <c r="AA30" s="6" t="s">
        <v>89</v>
      </c>
      <c r="AB30" s="6" t="s">
        <v>144</v>
      </c>
      <c r="AC30" s="4" t="s">
        <v>153</v>
      </c>
      <c r="AD30" s="6" t="s">
        <v>40</v>
      </c>
      <c r="AE30" s="6" t="s">
        <v>412</v>
      </c>
      <c r="AF30" s="6" t="s">
        <v>413</v>
      </c>
      <c r="AG30" s="6" t="s">
        <v>414</v>
      </c>
    </row>
    <row r="31" spans="1:36" x14ac:dyDescent="0.25">
      <c r="A31" s="6"/>
      <c r="B31" s="6" t="s">
        <v>401</v>
      </c>
      <c r="C31" s="6">
        <v>41.9</v>
      </c>
      <c r="D31" s="51">
        <v>2.7</v>
      </c>
      <c r="E31" s="34">
        <v>9.5</v>
      </c>
      <c r="F31" s="34" t="s">
        <v>34</v>
      </c>
      <c r="G31" s="34">
        <v>4</v>
      </c>
      <c r="H31" s="34">
        <v>125</v>
      </c>
      <c r="I31" s="34">
        <f t="shared" si="3"/>
        <v>82.8</v>
      </c>
      <c r="J31" s="34">
        <v>0</v>
      </c>
      <c r="K31" s="34">
        <v>0</v>
      </c>
      <c r="L31" s="68">
        <f>10*0.005+1.5*0.5+2*0.45+1*0.1+0.2*0.1</f>
        <v>1.8200000000000003</v>
      </c>
      <c r="M31" s="34">
        <v>180</v>
      </c>
      <c r="N31" s="35" t="s">
        <v>356</v>
      </c>
      <c r="O31" s="34"/>
      <c r="P31" s="35"/>
      <c r="Q31" s="34"/>
      <c r="R31" s="35"/>
      <c r="S31" s="40" t="s">
        <v>410</v>
      </c>
      <c r="T31" s="6" t="s">
        <v>411</v>
      </c>
      <c r="U31" s="6" t="s">
        <v>298</v>
      </c>
      <c r="V31" s="6" t="s">
        <v>102</v>
      </c>
      <c r="W31" s="6" t="s">
        <v>108</v>
      </c>
      <c r="X31" s="6" t="s">
        <v>48</v>
      </c>
      <c r="Y31" s="4" t="s">
        <v>52</v>
      </c>
      <c r="Z31" s="4" t="s">
        <v>47</v>
      </c>
      <c r="AA31" s="6" t="s">
        <v>89</v>
      </c>
      <c r="AB31" s="6" t="s">
        <v>144</v>
      </c>
      <c r="AC31" s="4" t="s">
        <v>153</v>
      </c>
      <c r="AD31" s="6" t="s">
        <v>40</v>
      </c>
      <c r="AE31" s="6" t="s">
        <v>412</v>
      </c>
      <c r="AF31" s="6" t="s">
        <v>413</v>
      </c>
      <c r="AG31" s="6" t="s">
        <v>414</v>
      </c>
    </row>
    <row r="32" spans="1:36" x14ac:dyDescent="0.25">
      <c r="A32" s="6"/>
      <c r="B32" s="6" t="s">
        <v>292</v>
      </c>
      <c r="C32" s="6">
        <v>15</v>
      </c>
      <c r="D32" s="51">
        <v>2.8</v>
      </c>
      <c r="E32" s="34">
        <v>13</v>
      </c>
      <c r="F32" s="34" t="s">
        <v>34</v>
      </c>
      <c r="G32" s="34">
        <v>5</v>
      </c>
      <c r="H32" s="34">
        <v>120</v>
      </c>
      <c r="I32" s="34">
        <f t="shared" si="3"/>
        <v>92</v>
      </c>
      <c r="J32" s="34">
        <v>0</v>
      </c>
      <c r="K32" s="34">
        <v>0</v>
      </c>
      <c r="L32" s="68">
        <f>12*0.005+1.5*0.5+3*0.45+1*0.1+0.2*0.1+2*0.5</f>
        <v>3.2800000000000002</v>
      </c>
      <c r="M32" s="34">
        <v>200</v>
      </c>
      <c r="N32" s="35" t="s">
        <v>356</v>
      </c>
      <c r="O32" s="34"/>
      <c r="P32" s="35"/>
      <c r="Q32" s="34"/>
      <c r="R32" s="35"/>
      <c r="S32" s="40" t="s">
        <v>410</v>
      </c>
      <c r="T32" s="6" t="s">
        <v>411</v>
      </c>
      <c r="U32" s="6" t="s">
        <v>451</v>
      </c>
      <c r="V32" s="6" t="s">
        <v>102</v>
      </c>
      <c r="W32" s="6" t="s">
        <v>108</v>
      </c>
      <c r="X32" s="6" t="s">
        <v>48</v>
      </c>
      <c r="Y32" s="4" t="s">
        <v>52</v>
      </c>
      <c r="Z32" s="4" t="s">
        <v>47</v>
      </c>
      <c r="AA32" s="6" t="s">
        <v>179</v>
      </c>
      <c r="AB32" s="6" t="s">
        <v>144</v>
      </c>
      <c r="AC32" s="4" t="s">
        <v>153</v>
      </c>
      <c r="AD32" s="6" t="s">
        <v>40</v>
      </c>
      <c r="AE32" s="6" t="s">
        <v>412</v>
      </c>
      <c r="AF32" s="6" t="s">
        <v>413</v>
      </c>
      <c r="AG32" s="6" t="s">
        <v>414</v>
      </c>
      <c r="AH32" s="6" t="s">
        <v>452</v>
      </c>
      <c r="AI32" s="6" t="s">
        <v>453</v>
      </c>
      <c r="AJ32" s="6" t="s">
        <v>89</v>
      </c>
    </row>
    <row r="33" spans="1:36" x14ac:dyDescent="0.25">
      <c r="A33" s="217" t="s">
        <v>316</v>
      </c>
      <c r="B33" s="44" t="s">
        <v>393</v>
      </c>
      <c r="C33" s="44">
        <v>228.2</v>
      </c>
      <c r="D33" s="52">
        <v>3.8</v>
      </c>
      <c r="E33" s="41">
        <v>9.5</v>
      </c>
      <c r="F33" s="41" t="s">
        <v>34</v>
      </c>
      <c r="G33" s="41">
        <v>4</v>
      </c>
      <c r="H33" s="41">
        <v>120</v>
      </c>
      <c r="I33" s="41">
        <f t="shared" ref="I33:I42" si="4">M33*0.46</f>
        <v>92</v>
      </c>
      <c r="J33" s="41">
        <v>0</v>
      </c>
      <c r="K33" s="41">
        <v>0</v>
      </c>
      <c r="L33" s="79">
        <f t="shared" ref="L33:L52" si="5">10*0.005+1.5*0.5+2*0.45+1*0.1+0.2*0.1</f>
        <v>1.8200000000000003</v>
      </c>
      <c r="M33" s="41">
        <v>200</v>
      </c>
      <c r="N33" s="42" t="s">
        <v>356</v>
      </c>
      <c r="O33" s="41"/>
      <c r="P33" s="42"/>
      <c r="Q33" s="41"/>
      <c r="R33" s="42"/>
      <c r="S33" s="43" t="s">
        <v>410</v>
      </c>
      <c r="T33" s="44" t="s">
        <v>411</v>
      </c>
      <c r="U33" s="44" t="s">
        <v>298</v>
      </c>
      <c r="V33" s="44" t="s">
        <v>102</v>
      </c>
      <c r="W33" s="44" t="s">
        <v>108</v>
      </c>
      <c r="X33" s="44" t="s">
        <v>48</v>
      </c>
      <c r="Y33" s="31" t="s">
        <v>52</v>
      </c>
      <c r="Z33" s="31" t="s">
        <v>47</v>
      </c>
      <c r="AA33" s="44" t="s">
        <v>89</v>
      </c>
      <c r="AB33" s="44" t="s">
        <v>144</v>
      </c>
      <c r="AC33" s="31" t="s">
        <v>153</v>
      </c>
      <c r="AD33" s="44" t="s">
        <v>40</v>
      </c>
      <c r="AE33" s="44" t="s">
        <v>412</v>
      </c>
      <c r="AF33" s="44" t="s">
        <v>413</v>
      </c>
      <c r="AG33" s="44" t="s">
        <v>414</v>
      </c>
    </row>
    <row r="34" spans="1:36" x14ac:dyDescent="0.25">
      <c r="A34" s="6"/>
      <c r="B34" s="6" t="s">
        <v>364</v>
      </c>
      <c r="C34" s="6">
        <v>223.3</v>
      </c>
      <c r="D34" s="51">
        <v>3.7</v>
      </c>
      <c r="E34" s="34">
        <v>9.5</v>
      </c>
      <c r="F34" s="34" t="s">
        <v>34</v>
      </c>
      <c r="G34" s="34">
        <v>4</v>
      </c>
      <c r="H34" s="34">
        <v>110</v>
      </c>
      <c r="I34" s="34">
        <f t="shared" si="4"/>
        <v>92</v>
      </c>
      <c r="J34" s="34">
        <v>0</v>
      </c>
      <c r="K34" s="34">
        <v>0</v>
      </c>
      <c r="L34" s="68">
        <f t="shared" si="5"/>
        <v>1.8200000000000003</v>
      </c>
      <c r="M34" s="34">
        <v>200</v>
      </c>
      <c r="N34" s="35" t="s">
        <v>356</v>
      </c>
      <c r="O34" s="34"/>
      <c r="P34" s="35"/>
      <c r="Q34" s="34"/>
      <c r="R34" s="35"/>
      <c r="S34" s="40" t="s">
        <v>410</v>
      </c>
      <c r="T34" s="6" t="s">
        <v>411</v>
      </c>
      <c r="U34" s="6" t="s">
        <v>298</v>
      </c>
      <c r="V34" s="6" t="s">
        <v>102</v>
      </c>
      <c r="W34" s="6" t="s">
        <v>108</v>
      </c>
      <c r="X34" s="6" t="s">
        <v>48</v>
      </c>
      <c r="Y34" s="4" t="s">
        <v>52</v>
      </c>
      <c r="Z34" s="4" t="s">
        <v>47</v>
      </c>
      <c r="AA34" s="6" t="s">
        <v>89</v>
      </c>
      <c r="AB34" s="6" t="s">
        <v>144</v>
      </c>
      <c r="AC34" s="4" t="s">
        <v>153</v>
      </c>
      <c r="AD34" s="6" t="s">
        <v>40</v>
      </c>
      <c r="AE34" s="6" t="s">
        <v>412</v>
      </c>
      <c r="AF34" s="6" t="s">
        <v>413</v>
      </c>
      <c r="AG34" s="6" t="s">
        <v>414</v>
      </c>
    </row>
    <row r="35" spans="1:36" x14ac:dyDescent="0.25">
      <c r="A35" s="6"/>
      <c r="B35" s="6" t="s">
        <v>395</v>
      </c>
      <c r="C35" s="6">
        <v>98.8</v>
      </c>
      <c r="D35" s="51">
        <v>3.6</v>
      </c>
      <c r="E35" s="34">
        <v>9.5</v>
      </c>
      <c r="F35" s="34" t="s">
        <v>34</v>
      </c>
      <c r="G35" s="34">
        <v>4</v>
      </c>
      <c r="H35" s="34">
        <v>110</v>
      </c>
      <c r="I35" s="34">
        <f t="shared" si="4"/>
        <v>92</v>
      </c>
      <c r="J35" s="34">
        <v>0</v>
      </c>
      <c r="K35" s="34">
        <v>0</v>
      </c>
      <c r="L35" s="68">
        <f t="shared" si="5"/>
        <v>1.8200000000000003</v>
      </c>
      <c r="M35" s="34">
        <v>200</v>
      </c>
      <c r="N35" s="35" t="s">
        <v>356</v>
      </c>
      <c r="O35" s="34"/>
      <c r="P35" s="35"/>
      <c r="Q35" s="34"/>
      <c r="R35" s="35"/>
      <c r="S35" s="40" t="s">
        <v>410</v>
      </c>
      <c r="T35" s="6" t="s">
        <v>411</v>
      </c>
      <c r="U35" s="6" t="s">
        <v>298</v>
      </c>
      <c r="V35" s="6" t="s">
        <v>102</v>
      </c>
      <c r="W35" s="6" t="s">
        <v>108</v>
      </c>
      <c r="X35" s="6" t="s">
        <v>48</v>
      </c>
      <c r="Y35" s="4" t="s">
        <v>52</v>
      </c>
      <c r="Z35" s="4" t="s">
        <v>47</v>
      </c>
      <c r="AA35" s="6" t="s">
        <v>89</v>
      </c>
      <c r="AB35" s="6" t="s">
        <v>144</v>
      </c>
      <c r="AC35" s="4" t="s">
        <v>153</v>
      </c>
      <c r="AD35" s="6" t="s">
        <v>40</v>
      </c>
      <c r="AE35" s="6" t="s">
        <v>412</v>
      </c>
      <c r="AF35" s="6" t="s">
        <v>413</v>
      </c>
      <c r="AG35" s="6" t="s">
        <v>414</v>
      </c>
    </row>
    <row r="36" spans="1:36" x14ac:dyDescent="0.25">
      <c r="A36" s="6"/>
      <c r="B36" s="6" t="s">
        <v>416</v>
      </c>
      <c r="C36" s="6">
        <v>196.3</v>
      </c>
      <c r="D36" s="51">
        <v>3.6</v>
      </c>
      <c r="E36" s="34">
        <v>9.5</v>
      </c>
      <c r="F36" s="34" t="s">
        <v>34</v>
      </c>
      <c r="G36" s="34">
        <v>4</v>
      </c>
      <c r="H36" s="34">
        <v>120</v>
      </c>
      <c r="I36" s="34">
        <f t="shared" si="4"/>
        <v>92</v>
      </c>
      <c r="J36" s="34">
        <v>0</v>
      </c>
      <c r="K36" s="34">
        <v>0</v>
      </c>
      <c r="L36" s="68">
        <f t="shared" si="5"/>
        <v>1.8200000000000003</v>
      </c>
      <c r="M36" s="34">
        <v>200</v>
      </c>
      <c r="N36" s="35" t="s">
        <v>356</v>
      </c>
      <c r="O36" s="34"/>
      <c r="P36" s="35"/>
      <c r="Q36" s="34"/>
      <c r="R36" s="35"/>
      <c r="S36" s="40" t="s">
        <v>410</v>
      </c>
      <c r="T36" s="6" t="s">
        <v>411</v>
      </c>
      <c r="U36" s="6" t="s">
        <v>298</v>
      </c>
      <c r="V36" s="6" t="s">
        <v>102</v>
      </c>
      <c r="W36" s="6" t="s">
        <v>108</v>
      </c>
      <c r="X36" s="6" t="s">
        <v>48</v>
      </c>
      <c r="Y36" s="4" t="s">
        <v>52</v>
      </c>
      <c r="Z36" s="4" t="s">
        <v>47</v>
      </c>
      <c r="AA36" s="6" t="s">
        <v>89</v>
      </c>
      <c r="AB36" s="6" t="s">
        <v>144</v>
      </c>
      <c r="AC36" s="4" t="s">
        <v>153</v>
      </c>
      <c r="AD36" s="6" t="s">
        <v>40</v>
      </c>
      <c r="AE36" s="6" t="s">
        <v>412</v>
      </c>
      <c r="AF36" s="6" t="s">
        <v>413</v>
      </c>
      <c r="AG36" s="6" t="s">
        <v>414</v>
      </c>
    </row>
    <row r="37" spans="1:36" x14ac:dyDescent="0.25">
      <c r="A37" s="6"/>
      <c r="B37" s="6" t="s">
        <v>396</v>
      </c>
      <c r="C37" s="6">
        <v>44.7</v>
      </c>
      <c r="D37" s="51">
        <v>3.7</v>
      </c>
      <c r="E37" s="34">
        <v>9.5</v>
      </c>
      <c r="F37" s="34" t="s">
        <v>34</v>
      </c>
      <c r="G37" s="34">
        <v>4</v>
      </c>
      <c r="H37" s="34">
        <v>120</v>
      </c>
      <c r="I37" s="34">
        <f t="shared" si="4"/>
        <v>92</v>
      </c>
      <c r="J37" s="34">
        <v>0</v>
      </c>
      <c r="K37" s="34">
        <v>0</v>
      </c>
      <c r="L37" s="68">
        <f t="shared" si="5"/>
        <v>1.8200000000000003</v>
      </c>
      <c r="M37" s="34">
        <v>200</v>
      </c>
      <c r="N37" s="35" t="s">
        <v>356</v>
      </c>
      <c r="O37" s="34"/>
      <c r="P37" s="35"/>
      <c r="Q37" s="34"/>
      <c r="R37" s="35"/>
      <c r="S37" s="40" t="s">
        <v>410</v>
      </c>
      <c r="T37" s="6" t="s">
        <v>411</v>
      </c>
      <c r="U37" s="6" t="s">
        <v>298</v>
      </c>
      <c r="V37" s="6" t="s">
        <v>102</v>
      </c>
      <c r="W37" s="6" t="s">
        <v>108</v>
      </c>
      <c r="X37" s="6" t="s">
        <v>48</v>
      </c>
      <c r="Y37" s="4" t="s">
        <v>52</v>
      </c>
      <c r="Z37" s="4" t="s">
        <v>47</v>
      </c>
      <c r="AA37" s="6" t="s">
        <v>89</v>
      </c>
      <c r="AB37" s="6" t="s">
        <v>144</v>
      </c>
      <c r="AC37" s="4" t="s">
        <v>153</v>
      </c>
      <c r="AD37" s="6" t="s">
        <v>40</v>
      </c>
      <c r="AE37" s="6" t="s">
        <v>412</v>
      </c>
      <c r="AF37" s="6" t="s">
        <v>413</v>
      </c>
      <c r="AG37" s="6" t="s">
        <v>414</v>
      </c>
    </row>
    <row r="38" spans="1:36" x14ac:dyDescent="0.25">
      <c r="A38" s="6"/>
      <c r="B38" s="6" t="s">
        <v>397</v>
      </c>
      <c r="C38" s="6">
        <v>57.5</v>
      </c>
      <c r="D38" s="51">
        <v>3.6</v>
      </c>
      <c r="E38" s="34">
        <v>9.5</v>
      </c>
      <c r="F38" s="34" t="s">
        <v>34</v>
      </c>
      <c r="G38" s="34">
        <v>4</v>
      </c>
      <c r="H38" s="34">
        <v>120</v>
      </c>
      <c r="I38" s="34">
        <f t="shared" si="4"/>
        <v>92</v>
      </c>
      <c r="J38" s="34">
        <v>0</v>
      </c>
      <c r="K38" s="34">
        <v>0</v>
      </c>
      <c r="L38" s="68">
        <f t="shared" si="5"/>
        <v>1.8200000000000003</v>
      </c>
      <c r="M38" s="34">
        <v>200</v>
      </c>
      <c r="N38" s="35" t="s">
        <v>356</v>
      </c>
      <c r="O38" s="34"/>
      <c r="P38" s="35"/>
      <c r="Q38" s="34"/>
      <c r="R38" s="35"/>
      <c r="S38" s="40" t="s">
        <v>410</v>
      </c>
      <c r="T38" s="6" t="s">
        <v>411</v>
      </c>
      <c r="U38" s="6" t="s">
        <v>298</v>
      </c>
      <c r="V38" s="6" t="s">
        <v>102</v>
      </c>
      <c r="W38" s="6" t="s">
        <v>108</v>
      </c>
      <c r="X38" s="6" t="s">
        <v>48</v>
      </c>
      <c r="Y38" s="4" t="s">
        <v>52</v>
      </c>
      <c r="Z38" s="4" t="s">
        <v>47</v>
      </c>
      <c r="AA38" s="6" t="s">
        <v>89</v>
      </c>
      <c r="AB38" s="6" t="s">
        <v>144</v>
      </c>
      <c r="AC38" s="4" t="s">
        <v>153</v>
      </c>
      <c r="AD38" s="6" t="s">
        <v>40</v>
      </c>
      <c r="AE38" s="6" t="s">
        <v>412</v>
      </c>
      <c r="AF38" s="6" t="s">
        <v>413</v>
      </c>
      <c r="AG38" s="6" t="s">
        <v>414</v>
      </c>
    </row>
    <row r="39" spans="1:36" x14ac:dyDescent="0.25">
      <c r="A39" s="6"/>
      <c r="B39" s="6" t="s">
        <v>417</v>
      </c>
      <c r="C39" s="6">
        <v>33</v>
      </c>
      <c r="D39" s="51">
        <v>3.6</v>
      </c>
      <c r="E39" s="34">
        <v>9.5</v>
      </c>
      <c r="F39" s="34" t="s">
        <v>34</v>
      </c>
      <c r="G39" s="34">
        <v>4</v>
      </c>
      <c r="H39" s="34">
        <v>115</v>
      </c>
      <c r="I39" s="34">
        <f t="shared" si="4"/>
        <v>92</v>
      </c>
      <c r="J39" s="34">
        <v>0</v>
      </c>
      <c r="K39" s="34">
        <v>0</v>
      </c>
      <c r="L39" s="68">
        <f t="shared" si="5"/>
        <v>1.8200000000000003</v>
      </c>
      <c r="M39" s="34">
        <v>200</v>
      </c>
      <c r="N39" s="35" t="s">
        <v>356</v>
      </c>
      <c r="O39" s="34"/>
      <c r="P39" s="35"/>
      <c r="Q39" s="34"/>
      <c r="R39" s="35"/>
      <c r="S39" s="40" t="s">
        <v>410</v>
      </c>
      <c r="T39" s="6" t="s">
        <v>411</v>
      </c>
      <c r="U39" s="6" t="s">
        <v>298</v>
      </c>
      <c r="V39" s="6" t="s">
        <v>102</v>
      </c>
      <c r="W39" s="6" t="s">
        <v>108</v>
      </c>
      <c r="X39" s="6" t="s">
        <v>48</v>
      </c>
      <c r="Y39" s="4" t="s">
        <v>52</v>
      </c>
      <c r="Z39" s="4" t="s">
        <v>47</v>
      </c>
      <c r="AA39" s="6" t="s">
        <v>89</v>
      </c>
      <c r="AB39" s="6" t="s">
        <v>144</v>
      </c>
      <c r="AC39" s="4" t="s">
        <v>153</v>
      </c>
      <c r="AD39" s="6" t="s">
        <v>40</v>
      </c>
      <c r="AE39" s="6" t="s">
        <v>412</v>
      </c>
      <c r="AF39" s="6" t="s">
        <v>413</v>
      </c>
      <c r="AG39" s="6" t="s">
        <v>414</v>
      </c>
    </row>
    <row r="40" spans="1:36" x14ac:dyDescent="0.25">
      <c r="A40" s="6"/>
      <c r="B40" s="6" t="s">
        <v>418</v>
      </c>
      <c r="C40" s="6">
        <v>16.100000000000001</v>
      </c>
      <c r="D40" s="51">
        <v>3.7</v>
      </c>
      <c r="E40" s="34">
        <v>9.5</v>
      </c>
      <c r="F40" s="34" t="s">
        <v>34</v>
      </c>
      <c r="G40" s="34">
        <v>4</v>
      </c>
      <c r="H40" s="34">
        <v>120</v>
      </c>
      <c r="I40" s="34">
        <f t="shared" si="4"/>
        <v>92</v>
      </c>
      <c r="J40" s="34">
        <v>0</v>
      </c>
      <c r="K40" s="34">
        <v>0</v>
      </c>
      <c r="L40" s="68">
        <f t="shared" si="5"/>
        <v>1.8200000000000003</v>
      </c>
      <c r="M40" s="34">
        <v>200</v>
      </c>
      <c r="N40" s="35" t="s">
        <v>356</v>
      </c>
      <c r="O40" s="34"/>
      <c r="P40" s="35"/>
      <c r="Q40" s="34"/>
      <c r="R40" s="35"/>
      <c r="S40" s="40" t="s">
        <v>410</v>
      </c>
      <c r="T40" s="6" t="s">
        <v>411</v>
      </c>
      <c r="U40" s="6" t="s">
        <v>298</v>
      </c>
      <c r="V40" s="6" t="s">
        <v>102</v>
      </c>
      <c r="W40" s="6" t="s">
        <v>108</v>
      </c>
      <c r="X40" s="6" t="s">
        <v>48</v>
      </c>
      <c r="Y40" s="4" t="s">
        <v>52</v>
      </c>
      <c r="Z40" s="4" t="s">
        <v>47</v>
      </c>
      <c r="AA40" s="6" t="s">
        <v>89</v>
      </c>
      <c r="AB40" s="6" t="s">
        <v>144</v>
      </c>
      <c r="AC40" s="4" t="s">
        <v>153</v>
      </c>
      <c r="AD40" s="6" t="s">
        <v>40</v>
      </c>
      <c r="AE40" s="6" t="s">
        <v>412</v>
      </c>
      <c r="AF40" s="6" t="s">
        <v>413</v>
      </c>
      <c r="AG40" s="6" t="s">
        <v>414</v>
      </c>
    </row>
    <row r="41" spans="1:36" x14ac:dyDescent="0.25">
      <c r="A41" s="6"/>
      <c r="B41" s="6" t="s">
        <v>398</v>
      </c>
      <c r="C41" s="6">
        <v>4.5999999999999996</v>
      </c>
      <c r="D41" s="51">
        <v>3.5</v>
      </c>
      <c r="E41" s="34">
        <v>9.5</v>
      </c>
      <c r="F41" s="34" t="s">
        <v>34</v>
      </c>
      <c r="G41" s="34">
        <v>4</v>
      </c>
      <c r="H41" s="34">
        <v>120</v>
      </c>
      <c r="I41" s="34">
        <f t="shared" si="4"/>
        <v>92</v>
      </c>
      <c r="J41" s="34">
        <v>0</v>
      </c>
      <c r="K41" s="34">
        <v>0</v>
      </c>
      <c r="L41" s="68">
        <f t="shared" si="5"/>
        <v>1.8200000000000003</v>
      </c>
      <c r="M41" s="34">
        <v>200</v>
      </c>
      <c r="N41" s="35" t="s">
        <v>356</v>
      </c>
      <c r="O41" s="34"/>
      <c r="P41" s="35"/>
      <c r="Q41" s="34"/>
      <c r="R41" s="35"/>
      <c r="S41" s="40" t="s">
        <v>410</v>
      </c>
      <c r="T41" s="6" t="s">
        <v>411</v>
      </c>
      <c r="U41" s="6" t="s">
        <v>298</v>
      </c>
      <c r="V41" s="6" t="s">
        <v>102</v>
      </c>
      <c r="W41" s="6" t="s">
        <v>108</v>
      </c>
      <c r="X41" s="6" t="s">
        <v>48</v>
      </c>
      <c r="Y41" s="4" t="s">
        <v>52</v>
      </c>
      <c r="Z41" s="4" t="s">
        <v>47</v>
      </c>
      <c r="AA41" s="6" t="s">
        <v>89</v>
      </c>
      <c r="AB41" s="6" t="s">
        <v>144</v>
      </c>
      <c r="AC41" s="4" t="s">
        <v>153</v>
      </c>
      <c r="AD41" s="6" t="s">
        <v>40</v>
      </c>
      <c r="AE41" s="6" t="s">
        <v>412</v>
      </c>
      <c r="AF41" s="6" t="s">
        <v>413</v>
      </c>
      <c r="AG41" s="6" t="s">
        <v>414</v>
      </c>
    </row>
    <row r="42" spans="1:36" x14ac:dyDescent="0.25">
      <c r="A42" s="6"/>
      <c r="B42" s="6" t="s">
        <v>364</v>
      </c>
      <c r="C42" s="6">
        <v>8</v>
      </c>
      <c r="D42" s="51">
        <v>3.2</v>
      </c>
      <c r="E42" s="34">
        <v>12.5</v>
      </c>
      <c r="F42" s="34" t="s">
        <v>116</v>
      </c>
      <c r="G42" s="34">
        <v>5</v>
      </c>
      <c r="H42" s="34">
        <v>150</v>
      </c>
      <c r="I42" s="34">
        <f t="shared" si="4"/>
        <v>92</v>
      </c>
      <c r="J42" s="34">
        <v>0</v>
      </c>
      <c r="K42" s="34">
        <v>0</v>
      </c>
      <c r="L42" s="68">
        <f>12*0.005+1.5*0.5+3*0.45+1*0.1+0.2*0.1+2*0.5</f>
        <v>3.2800000000000002</v>
      </c>
      <c r="M42" s="34">
        <v>200</v>
      </c>
      <c r="N42" s="35" t="s">
        <v>356</v>
      </c>
      <c r="O42" s="34"/>
      <c r="P42" s="35"/>
      <c r="Q42" s="34"/>
      <c r="R42" s="35"/>
      <c r="S42" s="40" t="s">
        <v>410</v>
      </c>
      <c r="T42" s="6" t="s">
        <v>411</v>
      </c>
      <c r="U42" s="6" t="s">
        <v>451</v>
      </c>
      <c r="V42" s="6" t="s">
        <v>102</v>
      </c>
      <c r="W42" s="6" t="s">
        <v>108</v>
      </c>
      <c r="X42" s="6" t="s">
        <v>48</v>
      </c>
      <c r="Y42" s="4" t="s">
        <v>52</v>
      </c>
      <c r="Z42" s="4" t="s">
        <v>47</v>
      </c>
      <c r="AA42" s="6" t="s">
        <v>179</v>
      </c>
      <c r="AB42" s="6" t="s">
        <v>144</v>
      </c>
      <c r="AC42" s="4" t="s">
        <v>153</v>
      </c>
      <c r="AD42" s="6" t="s">
        <v>40</v>
      </c>
      <c r="AE42" s="6" t="s">
        <v>412</v>
      </c>
      <c r="AF42" s="6" t="s">
        <v>413</v>
      </c>
      <c r="AG42" s="6" t="s">
        <v>414</v>
      </c>
      <c r="AH42" s="6" t="s">
        <v>452</v>
      </c>
      <c r="AI42" s="6" t="s">
        <v>453</v>
      </c>
      <c r="AJ42" s="6" t="s">
        <v>89</v>
      </c>
    </row>
    <row r="43" spans="1:36" x14ac:dyDescent="0.25">
      <c r="A43" s="131" t="s">
        <v>23</v>
      </c>
      <c r="B43" s="6" t="s">
        <v>419</v>
      </c>
      <c r="C43" s="6">
        <v>5.8</v>
      </c>
      <c r="D43" s="51">
        <v>3.6</v>
      </c>
      <c r="E43" s="34">
        <v>9.5</v>
      </c>
      <c r="F43" s="34" t="s">
        <v>34</v>
      </c>
      <c r="G43" s="34">
        <v>4</v>
      </c>
      <c r="H43" s="41">
        <v>120</v>
      </c>
      <c r="I43" s="41">
        <f t="shared" ref="I43" si="6">M43*0.46</f>
        <v>92</v>
      </c>
      <c r="J43" s="41">
        <v>0</v>
      </c>
      <c r="K43" s="41">
        <v>0</v>
      </c>
      <c r="L43" s="79">
        <f t="shared" si="5"/>
        <v>1.8200000000000003</v>
      </c>
      <c r="M43" s="41">
        <v>200</v>
      </c>
      <c r="N43" s="42" t="s">
        <v>356</v>
      </c>
      <c r="O43" s="34"/>
      <c r="P43" s="35"/>
      <c r="Q43" s="34"/>
      <c r="R43" s="35"/>
      <c r="S43" s="43" t="s">
        <v>410</v>
      </c>
      <c r="T43" s="44" t="s">
        <v>411</v>
      </c>
      <c r="U43" s="44" t="s">
        <v>298</v>
      </c>
      <c r="V43" s="44" t="s">
        <v>102</v>
      </c>
      <c r="W43" s="44" t="s">
        <v>108</v>
      </c>
      <c r="X43" s="44" t="s">
        <v>48</v>
      </c>
      <c r="Y43" s="31" t="s">
        <v>52</v>
      </c>
      <c r="Z43" s="31" t="s">
        <v>47</v>
      </c>
      <c r="AA43" s="44" t="s">
        <v>89</v>
      </c>
      <c r="AB43" s="44" t="s">
        <v>144</v>
      </c>
      <c r="AC43" s="31" t="s">
        <v>153</v>
      </c>
      <c r="AD43" s="44" t="s">
        <v>40</v>
      </c>
      <c r="AE43" s="44" t="s">
        <v>412</v>
      </c>
      <c r="AF43" s="44" t="s">
        <v>413</v>
      </c>
      <c r="AG43" s="44" t="s">
        <v>414</v>
      </c>
    </row>
    <row r="44" spans="1:36" x14ac:dyDescent="0.25">
      <c r="A44" s="6"/>
      <c r="B44" s="6" t="s">
        <v>420</v>
      </c>
      <c r="C44" s="6">
        <v>19.100000000000001</v>
      </c>
      <c r="D44" s="51">
        <v>4.5</v>
      </c>
      <c r="E44" s="34">
        <v>9.5</v>
      </c>
      <c r="F44" s="34" t="s">
        <v>34</v>
      </c>
      <c r="G44" s="34">
        <v>4</v>
      </c>
      <c r="H44" s="34">
        <v>120</v>
      </c>
      <c r="I44" s="34">
        <f t="shared" ref="I44" si="7">M44*0.46</f>
        <v>92</v>
      </c>
      <c r="J44" s="34">
        <v>0</v>
      </c>
      <c r="K44" s="34">
        <v>0</v>
      </c>
      <c r="L44" s="68">
        <f t="shared" si="5"/>
        <v>1.8200000000000003</v>
      </c>
      <c r="M44" s="34">
        <v>200</v>
      </c>
      <c r="N44" s="35" t="s">
        <v>356</v>
      </c>
      <c r="O44" s="34"/>
      <c r="P44" s="35"/>
      <c r="Q44" s="34"/>
      <c r="R44" s="35"/>
      <c r="S44" s="40" t="s">
        <v>410</v>
      </c>
      <c r="T44" s="6" t="s">
        <v>411</v>
      </c>
      <c r="U44" s="6" t="s">
        <v>298</v>
      </c>
      <c r="V44" s="6" t="s">
        <v>102</v>
      </c>
      <c r="W44" s="6" t="s">
        <v>108</v>
      </c>
      <c r="X44" s="6" t="s">
        <v>48</v>
      </c>
      <c r="Y44" s="4" t="s">
        <v>52</v>
      </c>
      <c r="Z44" s="4" t="s">
        <v>47</v>
      </c>
      <c r="AA44" s="6" t="s">
        <v>89</v>
      </c>
      <c r="AB44" s="6" t="s">
        <v>144</v>
      </c>
      <c r="AC44" s="4" t="s">
        <v>153</v>
      </c>
      <c r="AD44" s="6" t="s">
        <v>40</v>
      </c>
      <c r="AE44" s="6" t="s">
        <v>412</v>
      </c>
      <c r="AF44" s="6" t="s">
        <v>413</v>
      </c>
      <c r="AG44" s="6" t="s">
        <v>414</v>
      </c>
    </row>
    <row r="45" spans="1:36" x14ac:dyDescent="0.25">
      <c r="A45" s="6"/>
      <c r="B45" s="6" t="s">
        <v>354</v>
      </c>
      <c r="C45" s="6">
        <v>165.9</v>
      </c>
      <c r="D45" s="51">
        <v>3.6</v>
      </c>
      <c r="E45" s="34">
        <v>9.5</v>
      </c>
      <c r="F45" s="34" t="s">
        <v>34</v>
      </c>
      <c r="G45" s="34">
        <v>4</v>
      </c>
      <c r="H45" s="34">
        <v>115</v>
      </c>
      <c r="I45" s="34">
        <f t="shared" ref="I45" si="8">M45*0.46</f>
        <v>92</v>
      </c>
      <c r="J45" s="34">
        <v>0</v>
      </c>
      <c r="K45" s="34">
        <v>0</v>
      </c>
      <c r="L45" s="68">
        <f t="shared" si="5"/>
        <v>1.8200000000000003</v>
      </c>
      <c r="M45" s="34">
        <v>200</v>
      </c>
      <c r="N45" s="35" t="s">
        <v>356</v>
      </c>
      <c r="O45" s="34"/>
      <c r="P45" s="35"/>
      <c r="Q45" s="34"/>
      <c r="R45" s="35"/>
      <c r="S45" s="40" t="s">
        <v>410</v>
      </c>
      <c r="T45" s="6" t="s">
        <v>411</v>
      </c>
      <c r="U45" s="6" t="s">
        <v>298</v>
      </c>
      <c r="V45" s="6" t="s">
        <v>102</v>
      </c>
      <c r="W45" s="6" t="s">
        <v>108</v>
      </c>
      <c r="X45" s="6" t="s">
        <v>48</v>
      </c>
      <c r="Y45" s="4" t="s">
        <v>52</v>
      </c>
      <c r="Z45" s="4" t="s">
        <v>47</v>
      </c>
      <c r="AA45" s="6" t="s">
        <v>89</v>
      </c>
      <c r="AB45" s="6" t="s">
        <v>144</v>
      </c>
      <c r="AC45" s="4" t="s">
        <v>153</v>
      </c>
      <c r="AD45" s="6" t="s">
        <v>40</v>
      </c>
      <c r="AE45" s="6" t="s">
        <v>412</v>
      </c>
      <c r="AF45" s="6" t="s">
        <v>413</v>
      </c>
      <c r="AG45" s="6" t="s">
        <v>414</v>
      </c>
    </row>
    <row r="46" spans="1:36" x14ac:dyDescent="0.25">
      <c r="A46" s="6"/>
      <c r="B46" s="6" t="s">
        <v>24</v>
      </c>
      <c r="C46" s="6">
        <v>108.8</v>
      </c>
      <c r="D46" s="51">
        <v>3.7</v>
      </c>
      <c r="E46" s="34">
        <v>9.5</v>
      </c>
      <c r="F46" s="34" t="s">
        <v>34</v>
      </c>
      <c r="G46" s="34">
        <v>4</v>
      </c>
      <c r="H46" s="34">
        <v>110</v>
      </c>
      <c r="I46" s="34">
        <f t="shared" ref="I46:I47" si="9">M46*0.46</f>
        <v>92</v>
      </c>
      <c r="J46" s="34">
        <v>0</v>
      </c>
      <c r="K46" s="34">
        <v>0</v>
      </c>
      <c r="L46" s="68">
        <f t="shared" si="5"/>
        <v>1.8200000000000003</v>
      </c>
      <c r="M46" s="34">
        <v>200</v>
      </c>
      <c r="N46" s="35" t="s">
        <v>356</v>
      </c>
      <c r="O46" s="34"/>
      <c r="P46" s="35"/>
      <c r="Q46" s="34"/>
      <c r="R46" s="35"/>
      <c r="S46" s="40" t="s">
        <v>410</v>
      </c>
      <c r="T46" s="6" t="s">
        <v>411</v>
      </c>
      <c r="U46" s="6" t="s">
        <v>298</v>
      </c>
      <c r="V46" s="6" t="s">
        <v>102</v>
      </c>
      <c r="W46" s="6" t="s">
        <v>108</v>
      </c>
      <c r="X46" s="6" t="s">
        <v>48</v>
      </c>
      <c r="Y46" s="4" t="s">
        <v>52</v>
      </c>
      <c r="Z46" s="4" t="s">
        <v>47</v>
      </c>
      <c r="AA46" s="6" t="s">
        <v>89</v>
      </c>
      <c r="AB46" s="6" t="s">
        <v>144</v>
      </c>
      <c r="AC46" s="4" t="s">
        <v>153</v>
      </c>
      <c r="AD46" s="6" t="s">
        <v>40</v>
      </c>
      <c r="AE46" s="6" t="s">
        <v>412</v>
      </c>
      <c r="AF46" s="6" t="s">
        <v>413</v>
      </c>
      <c r="AG46" s="6" t="s">
        <v>414</v>
      </c>
    </row>
    <row r="47" spans="1:36" x14ac:dyDescent="0.25">
      <c r="A47" s="6"/>
      <c r="B47" s="6" t="s">
        <v>421</v>
      </c>
      <c r="C47" s="6">
        <v>58.9</v>
      </c>
      <c r="D47" s="51">
        <v>3.3</v>
      </c>
      <c r="E47" s="34">
        <v>9.5</v>
      </c>
      <c r="F47" s="34" t="s">
        <v>34</v>
      </c>
      <c r="G47" s="34">
        <v>4</v>
      </c>
      <c r="H47" s="34">
        <v>120</v>
      </c>
      <c r="I47" s="34">
        <f t="shared" si="9"/>
        <v>92</v>
      </c>
      <c r="J47" s="34">
        <v>0</v>
      </c>
      <c r="K47" s="34">
        <v>0</v>
      </c>
      <c r="L47" s="68">
        <f t="shared" si="5"/>
        <v>1.8200000000000003</v>
      </c>
      <c r="M47" s="34">
        <v>200</v>
      </c>
      <c r="N47" s="35" t="s">
        <v>356</v>
      </c>
      <c r="O47" s="34"/>
      <c r="P47" s="35"/>
      <c r="Q47" s="34"/>
      <c r="R47" s="35"/>
      <c r="S47" s="40" t="s">
        <v>410</v>
      </c>
      <c r="T47" s="6" t="s">
        <v>411</v>
      </c>
      <c r="U47" s="6" t="s">
        <v>298</v>
      </c>
      <c r="V47" s="6" t="s">
        <v>102</v>
      </c>
      <c r="W47" s="6" t="s">
        <v>108</v>
      </c>
      <c r="X47" s="6" t="s">
        <v>48</v>
      </c>
      <c r="Y47" s="4" t="s">
        <v>52</v>
      </c>
      <c r="Z47" s="4" t="s">
        <v>47</v>
      </c>
      <c r="AA47" s="6" t="s">
        <v>89</v>
      </c>
      <c r="AB47" s="6" t="s">
        <v>144</v>
      </c>
      <c r="AC47" s="4" t="s">
        <v>153</v>
      </c>
      <c r="AD47" s="6" t="s">
        <v>40</v>
      </c>
      <c r="AE47" s="6" t="s">
        <v>412</v>
      </c>
      <c r="AF47" s="6" t="s">
        <v>413</v>
      </c>
      <c r="AG47" s="6" t="s">
        <v>414</v>
      </c>
    </row>
    <row r="48" spans="1:36" x14ac:dyDescent="0.25">
      <c r="A48" s="6"/>
      <c r="B48" s="6" t="s">
        <v>422</v>
      </c>
      <c r="C48" s="6">
        <v>74.599999999999994</v>
      </c>
      <c r="D48" s="51">
        <v>3.8</v>
      </c>
      <c r="E48" s="34">
        <v>9.5</v>
      </c>
      <c r="F48" s="34" t="s">
        <v>34</v>
      </c>
      <c r="G48" s="34">
        <v>4</v>
      </c>
      <c r="H48" s="34">
        <v>110</v>
      </c>
      <c r="I48" s="34">
        <f t="shared" ref="I48" si="10">M48*0.46</f>
        <v>92</v>
      </c>
      <c r="J48" s="34">
        <v>0</v>
      </c>
      <c r="K48" s="34">
        <v>0</v>
      </c>
      <c r="L48" s="68">
        <f t="shared" si="5"/>
        <v>1.8200000000000003</v>
      </c>
      <c r="M48" s="34">
        <v>200</v>
      </c>
      <c r="N48" s="35" t="s">
        <v>356</v>
      </c>
      <c r="O48" s="34"/>
      <c r="P48" s="35"/>
      <c r="Q48" s="34"/>
      <c r="R48" s="35"/>
      <c r="S48" s="40" t="s">
        <v>410</v>
      </c>
      <c r="T48" s="6" t="s">
        <v>411</v>
      </c>
      <c r="U48" s="6" t="s">
        <v>298</v>
      </c>
      <c r="V48" s="6" t="s">
        <v>102</v>
      </c>
      <c r="W48" s="6" t="s">
        <v>108</v>
      </c>
      <c r="X48" s="6" t="s">
        <v>48</v>
      </c>
      <c r="Y48" s="4" t="s">
        <v>52</v>
      </c>
      <c r="Z48" s="4" t="s">
        <v>47</v>
      </c>
      <c r="AA48" s="6" t="s">
        <v>89</v>
      </c>
      <c r="AB48" s="6" t="s">
        <v>144</v>
      </c>
      <c r="AC48" s="4" t="s">
        <v>153</v>
      </c>
      <c r="AD48" s="6" t="s">
        <v>40</v>
      </c>
      <c r="AE48" s="6" t="s">
        <v>412</v>
      </c>
      <c r="AF48" s="6" t="s">
        <v>413</v>
      </c>
      <c r="AG48" s="6" t="s">
        <v>414</v>
      </c>
    </row>
    <row r="49" spans="1:33" x14ac:dyDescent="0.25">
      <c r="A49" s="217" t="s">
        <v>385</v>
      </c>
      <c r="B49" s="44" t="s">
        <v>423</v>
      </c>
      <c r="C49" s="44">
        <v>144.30000000000001</v>
      </c>
      <c r="D49" s="52">
        <v>3.4</v>
      </c>
      <c r="E49" s="41">
        <v>9.5</v>
      </c>
      <c r="F49" s="41" t="s">
        <v>34</v>
      </c>
      <c r="G49" s="41">
        <v>4</v>
      </c>
      <c r="H49" s="41">
        <v>120</v>
      </c>
      <c r="I49" s="41">
        <f t="shared" ref="I49:I50" si="11">M49*0.46</f>
        <v>92</v>
      </c>
      <c r="J49" s="41">
        <v>0</v>
      </c>
      <c r="K49" s="41">
        <v>0</v>
      </c>
      <c r="L49" s="79">
        <f t="shared" si="5"/>
        <v>1.8200000000000003</v>
      </c>
      <c r="M49" s="41">
        <v>200</v>
      </c>
      <c r="N49" s="42" t="s">
        <v>356</v>
      </c>
      <c r="O49" s="41"/>
      <c r="P49" s="42"/>
      <c r="Q49" s="41"/>
      <c r="R49" s="42"/>
      <c r="S49" s="43" t="s">
        <v>410</v>
      </c>
      <c r="T49" s="44" t="s">
        <v>411</v>
      </c>
      <c r="U49" s="44" t="s">
        <v>298</v>
      </c>
      <c r="V49" s="44" t="s">
        <v>102</v>
      </c>
      <c r="W49" s="44" t="s">
        <v>108</v>
      </c>
      <c r="X49" s="44" t="s">
        <v>48</v>
      </c>
      <c r="Y49" s="31" t="s">
        <v>52</v>
      </c>
      <c r="Z49" s="31" t="s">
        <v>47</v>
      </c>
      <c r="AA49" s="44" t="s">
        <v>89</v>
      </c>
      <c r="AB49" s="44" t="s">
        <v>144</v>
      </c>
      <c r="AC49" s="31" t="s">
        <v>153</v>
      </c>
      <c r="AD49" s="44" t="s">
        <v>40</v>
      </c>
      <c r="AE49" s="44" t="s">
        <v>412</v>
      </c>
      <c r="AF49" s="44" t="s">
        <v>413</v>
      </c>
      <c r="AG49" s="44" t="s">
        <v>414</v>
      </c>
    </row>
    <row r="50" spans="1:33" x14ac:dyDescent="0.25">
      <c r="A50" s="6"/>
      <c r="B50" s="6" t="s">
        <v>424</v>
      </c>
      <c r="C50" s="6">
        <v>5</v>
      </c>
      <c r="D50" s="51">
        <v>3.4</v>
      </c>
      <c r="E50" s="34">
        <v>9.5</v>
      </c>
      <c r="F50" s="34" t="s">
        <v>34</v>
      </c>
      <c r="G50" s="34">
        <v>4</v>
      </c>
      <c r="H50" s="34">
        <v>120</v>
      </c>
      <c r="I50" s="34">
        <f t="shared" si="11"/>
        <v>92</v>
      </c>
      <c r="J50" s="34">
        <v>0</v>
      </c>
      <c r="K50" s="34">
        <v>0</v>
      </c>
      <c r="L50" s="68">
        <f t="shared" si="5"/>
        <v>1.8200000000000003</v>
      </c>
      <c r="M50" s="34">
        <v>200</v>
      </c>
      <c r="N50" s="35" t="s">
        <v>356</v>
      </c>
      <c r="O50" s="34"/>
      <c r="P50" s="35"/>
      <c r="Q50" s="34"/>
      <c r="R50" s="35"/>
      <c r="S50" s="40" t="s">
        <v>410</v>
      </c>
      <c r="T50" s="6" t="s">
        <v>411</v>
      </c>
      <c r="U50" s="6" t="s">
        <v>298</v>
      </c>
      <c r="V50" s="6" t="s">
        <v>102</v>
      </c>
      <c r="W50" s="6" t="s">
        <v>108</v>
      </c>
      <c r="X50" s="6" t="s">
        <v>48</v>
      </c>
      <c r="Y50" s="4" t="s">
        <v>52</v>
      </c>
      <c r="Z50" s="4" t="s">
        <v>47</v>
      </c>
      <c r="AA50" s="6" t="s">
        <v>89</v>
      </c>
      <c r="AB50" s="6" t="s">
        <v>144</v>
      </c>
      <c r="AC50" s="4" t="s">
        <v>153</v>
      </c>
      <c r="AD50" s="6" t="s">
        <v>40</v>
      </c>
      <c r="AE50" s="6" t="s">
        <v>412</v>
      </c>
      <c r="AF50" s="6" t="s">
        <v>413</v>
      </c>
      <c r="AG50" s="6" t="s">
        <v>414</v>
      </c>
    </row>
    <row r="51" spans="1:33" x14ac:dyDescent="0.25">
      <c r="A51" s="6"/>
      <c r="B51" s="6" t="s">
        <v>425</v>
      </c>
      <c r="C51" s="6">
        <v>35</v>
      </c>
      <c r="D51" s="51">
        <v>3.1</v>
      </c>
      <c r="E51" s="34">
        <v>9.5</v>
      </c>
      <c r="F51" s="34" t="s">
        <v>34</v>
      </c>
      <c r="G51" s="34">
        <v>4</v>
      </c>
      <c r="H51" s="34">
        <v>120</v>
      </c>
      <c r="I51" s="34">
        <f t="shared" ref="I51" si="12">M51*0.46</f>
        <v>92</v>
      </c>
      <c r="J51" s="34">
        <v>0</v>
      </c>
      <c r="K51" s="34">
        <v>0</v>
      </c>
      <c r="L51" s="68">
        <f t="shared" si="5"/>
        <v>1.8200000000000003</v>
      </c>
      <c r="M51" s="34">
        <v>200</v>
      </c>
      <c r="N51" s="35" t="s">
        <v>356</v>
      </c>
      <c r="O51" s="34"/>
      <c r="P51" s="35"/>
      <c r="Q51" s="34"/>
      <c r="R51" s="35"/>
      <c r="S51" s="40" t="s">
        <v>410</v>
      </c>
      <c r="T51" s="6" t="s">
        <v>411</v>
      </c>
      <c r="U51" s="6" t="s">
        <v>298</v>
      </c>
      <c r="V51" s="6" t="s">
        <v>102</v>
      </c>
      <c r="W51" s="6" t="s">
        <v>108</v>
      </c>
      <c r="X51" s="6" t="s">
        <v>48</v>
      </c>
      <c r="Y51" s="4" t="s">
        <v>52</v>
      </c>
      <c r="Z51" s="4" t="s">
        <v>47</v>
      </c>
      <c r="AA51" s="6" t="s">
        <v>89</v>
      </c>
      <c r="AB51" s="6" t="s">
        <v>144</v>
      </c>
      <c r="AC51" s="4" t="s">
        <v>153</v>
      </c>
      <c r="AD51" s="6" t="s">
        <v>40</v>
      </c>
      <c r="AE51" s="6" t="s">
        <v>412</v>
      </c>
      <c r="AF51" s="6" t="s">
        <v>413</v>
      </c>
      <c r="AG51" s="6" t="s">
        <v>414</v>
      </c>
    </row>
    <row r="52" spans="1:33" x14ac:dyDescent="0.25">
      <c r="A52" s="6"/>
      <c r="B52" s="6" t="s">
        <v>426</v>
      </c>
      <c r="C52" s="6">
        <v>44</v>
      </c>
      <c r="D52" s="51">
        <v>3.1</v>
      </c>
      <c r="E52" s="34">
        <v>9.5</v>
      </c>
      <c r="F52" s="34" t="s">
        <v>34</v>
      </c>
      <c r="G52" s="34">
        <v>4</v>
      </c>
      <c r="H52" s="34">
        <v>120</v>
      </c>
      <c r="I52" s="34">
        <f t="shared" ref="I52" si="13">M52*0.46</f>
        <v>92</v>
      </c>
      <c r="J52" s="34">
        <v>0</v>
      </c>
      <c r="K52" s="34">
        <v>0</v>
      </c>
      <c r="L52" s="68">
        <f t="shared" si="5"/>
        <v>1.8200000000000003</v>
      </c>
      <c r="M52" s="34">
        <v>200</v>
      </c>
      <c r="N52" s="35" t="s">
        <v>356</v>
      </c>
      <c r="O52" s="34"/>
      <c r="P52" s="35"/>
      <c r="Q52" s="34"/>
      <c r="R52" s="35"/>
      <c r="S52" s="40" t="s">
        <v>410</v>
      </c>
      <c r="T52" s="6" t="s">
        <v>411</v>
      </c>
      <c r="U52" s="6" t="s">
        <v>298</v>
      </c>
      <c r="V52" s="6" t="s">
        <v>102</v>
      </c>
      <c r="W52" s="6" t="s">
        <v>108</v>
      </c>
      <c r="X52" s="6" t="s">
        <v>48</v>
      </c>
      <c r="Y52" s="4" t="s">
        <v>52</v>
      </c>
      <c r="Z52" s="4" t="s">
        <v>47</v>
      </c>
      <c r="AA52" s="6" t="s">
        <v>89</v>
      </c>
      <c r="AB52" s="6" t="s">
        <v>144</v>
      </c>
      <c r="AC52" s="4" t="s">
        <v>153</v>
      </c>
      <c r="AD52" s="6" t="s">
        <v>40</v>
      </c>
      <c r="AE52" s="6" t="s">
        <v>412</v>
      </c>
      <c r="AF52" s="6" t="s">
        <v>413</v>
      </c>
      <c r="AG52" s="6" t="s">
        <v>414</v>
      </c>
    </row>
    <row r="53" spans="1:33" x14ac:dyDescent="0.25">
      <c r="A53" s="6"/>
      <c r="B53" s="6" t="s">
        <v>387</v>
      </c>
      <c r="C53" s="77">
        <v>500</v>
      </c>
      <c r="D53" s="34">
        <v>2</v>
      </c>
      <c r="E53" s="34">
        <v>9</v>
      </c>
      <c r="F53" s="34" t="s">
        <v>34</v>
      </c>
      <c r="G53" s="34">
        <v>4.5</v>
      </c>
      <c r="H53" s="34">
        <v>140</v>
      </c>
      <c r="I53" s="34">
        <f>M53*0.205</f>
        <v>26.65</v>
      </c>
      <c r="J53" s="34">
        <v>0</v>
      </c>
      <c r="K53" s="34">
        <v>0</v>
      </c>
      <c r="L53" s="68">
        <f>0.4*0.36+1*0.96+1.3*0.365+0.01*0.5</f>
        <v>1.5834999999999997</v>
      </c>
      <c r="M53" s="34">
        <v>130</v>
      </c>
      <c r="N53" s="35" t="s">
        <v>388</v>
      </c>
      <c r="O53" s="34"/>
      <c r="P53" s="35"/>
      <c r="Q53" s="34"/>
      <c r="R53" s="35"/>
      <c r="S53" s="40" t="s">
        <v>118</v>
      </c>
      <c r="T53" s="6" t="s">
        <v>389</v>
      </c>
      <c r="U53" s="6" t="s">
        <v>148</v>
      </c>
      <c r="V53" s="37" t="s">
        <v>37</v>
      </c>
      <c r="W53" s="4" t="s">
        <v>390</v>
      </c>
      <c r="X53" s="6" t="s">
        <v>40</v>
      </c>
      <c r="Y53" s="4" t="s">
        <v>142</v>
      </c>
      <c r="Z53" s="4" t="s">
        <v>386</v>
      </c>
      <c r="AA53" s="4" t="s">
        <v>391</v>
      </c>
      <c r="AB53" s="4" t="s">
        <v>134</v>
      </c>
      <c r="AC53" s="4" t="s">
        <v>370</v>
      </c>
      <c r="AD53" s="4" t="s">
        <v>392</v>
      </c>
    </row>
    <row r="54" spans="1:33" x14ac:dyDescent="0.25">
      <c r="A54" s="217" t="s">
        <v>427</v>
      </c>
      <c r="B54" s="44" t="s">
        <v>428</v>
      </c>
      <c r="C54" s="44">
        <v>10</v>
      </c>
      <c r="D54" s="52">
        <v>2.8</v>
      </c>
      <c r="E54" s="41">
        <v>9.5</v>
      </c>
      <c r="F54" s="41" t="s">
        <v>34</v>
      </c>
      <c r="G54" s="41">
        <v>4</v>
      </c>
      <c r="H54" s="41">
        <v>135</v>
      </c>
      <c r="I54" s="41">
        <f t="shared" ref="I54:I60" si="14">M54*0.46+O54*0.36</f>
        <v>73.8</v>
      </c>
      <c r="J54" s="41">
        <v>0</v>
      </c>
      <c r="K54" s="41">
        <v>0</v>
      </c>
      <c r="L54" s="79">
        <f t="shared" ref="L54:L61" si="15">10*0.005+1.5*0.5+0.7*0.1+0.2*0.1</f>
        <v>0.89</v>
      </c>
      <c r="M54" s="41">
        <v>90</v>
      </c>
      <c r="N54" s="42" t="s">
        <v>356</v>
      </c>
      <c r="O54" s="41">
        <v>90</v>
      </c>
      <c r="P54" s="42" t="s">
        <v>429</v>
      </c>
      <c r="Q54" s="41"/>
      <c r="R54" s="42"/>
      <c r="S54" s="43" t="s">
        <v>410</v>
      </c>
      <c r="T54" s="44" t="s">
        <v>411</v>
      </c>
      <c r="U54" s="44" t="s">
        <v>298</v>
      </c>
      <c r="V54" s="44" t="s">
        <v>102</v>
      </c>
      <c r="W54" s="44" t="s">
        <v>108</v>
      </c>
      <c r="X54" s="44" t="s">
        <v>48</v>
      </c>
      <c r="Y54" s="44" t="s">
        <v>144</v>
      </c>
      <c r="Z54" s="31" t="s">
        <v>153</v>
      </c>
      <c r="AA54" s="44" t="s">
        <v>151</v>
      </c>
      <c r="AB54" s="44" t="s">
        <v>412</v>
      </c>
      <c r="AC54" s="44" t="s">
        <v>413</v>
      </c>
      <c r="AD54" s="44" t="s">
        <v>414</v>
      </c>
    </row>
    <row r="55" spans="1:33" x14ac:dyDescent="0.25">
      <c r="A55" s="6"/>
      <c r="B55" s="6" t="s">
        <v>430</v>
      </c>
      <c r="C55" s="6">
        <v>39.700000000000003</v>
      </c>
      <c r="D55" s="51">
        <v>2.6</v>
      </c>
      <c r="E55" s="34">
        <v>9.5</v>
      </c>
      <c r="F55" s="34" t="s">
        <v>34</v>
      </c>
      <c r="G55" s="34">
        <v>4</v>
      </c>
      <c r="H55" s="34">
        <v>135</v>
      </c>
      <c r="I55" s="34">
        <f t="shared" si="14"/>
        <v>73.8</v>
      </c>
      <c r="J55" s="34">
        <v>0</v>
      </c>
      <c r="K55" s="34">
        <v>0</v>
      </c>
      <c r="L55" s="68">
        <f t="shared" si="15"/>
        <v>0.89</v>
      </c>
      <c r="M55" s="34">
        <v>90</v>
      </c>
      <c r="N55" s="35" t="s">
        <v>356</v>
      </c>
      <c r="O55" s="34">
        <v>90</v>
      </c>
      <c r="P55" s="35" t="s">
        <v>429</v>
      </c>
      <c r="Q55" s="34"/>
      <c r="R55" s="35"/>
      <c r="S55" s="40" t="s">
        <v>410</v>
      </c>
      <c r="T55" s="6" t="s">
        <v>411</v>
      </c>
      <c r="U55" s="6" t="s">
        <v>298</v>
      </c>
      <c r="V55" s="6" t="s">
        <v>102</v>
      </c>
      <c r="W55" s="6" t="s">
        <v>108</v>
      </c>
      <c r="X55" s="6" t="s">
        <v>48</v>
      </c>
      <c r="Y55" s="6" t="s">
        <v>144</v>
      </c>
      <c r="Z55" s="4" t="s">
        <v>153</v>
      </c>
      <c r="AA55" s="6" t="s">
        <v>151</v>
      </c>
      <c r="AB55" s="6" t="s">
        <v>412</v>
      </c>
      <c r="AC55" s="6" t="s">
        <v>413</v>
      </c>
      <c r="AD55" s="6" t="s">
        <v>414</v>
      </c>
      <c r="AE55" s="6"/>
      <c r="AF55" s="6"/>
      <c r="AG55" s="6"/>
    </row>
    <row r="56" spans="1:33" x14ac:dyDescent="0.25">
      <c r="A56" s="217" t="s">
        <v>431</v>
      </c>
      <c r="B56" s="44" t="s">
        <v>432</v>
      </c>
      <c r="C56" s="44">
        <v>12</v>
      </c>
      <c r="D56" s="52">
        <v>2.6</v>
      </c>
      <c r="E56" s="41">
        <v>9.5</v>
      </c>
      <c r="F56" s="41" t="s">
        <v>34</v>
      </c>
      <c r="G56" s="41">
        <v>4</v>
      </c>
      <c r="H56" s="41">
        <v>135</v>
      </c>
      <c r="I56" s="41">
        <f t="shared" si="14"/>
        <v>73.8</v>
      </c>
      <c r="J56" s="41">
        <v>0</v>
      </c>
      <c r="K56" s="41">
        <v>0</v>
      </c>
      <c r="L56" s="79">
        <f t="shared" si="15"/>
        <v>0.89</v>
      </c>
      <c r="M56" s="41">
        <v>90</v>
      </c>
      <c r="N56" s="42" t="s">
        <v>356</v>
      </c>
      <c r="O56" s="41">
        <v>90</v>
      </c>
      <c r="P56" s="42" t="s">
        <v>429</v>
      </c>
      <c r="Q56" s="41"/>
      <c r="R56" s="42"/>
      <c r="S56" s="43" t="s">
        <v>410</v>
      </c>
      <c r="T56" s="44" t="s">
        <v>411</v>
      </c>
      <c r="U56" s="44" t="s">
        <v>298</v>
      </c>
      <c r="V56" s="44" t="s">
        <v>102</v>
      </c>
      <c r="W56" s="44" t="s">
        <v>108</v>
      </c>
      <c r="X56" s="44" t="s">
        <v>48</v>
      </c>
      <c r="Y56" s="44" t="s">
        <v>144</v>
      </c>
      <c r="Z56" s="31" t="s">
        <v>153</v>
      </c>
      <c r="AA56" s="44" t="s">
        <v>151</v>
      </c>
      <c r="AB56" s="44" t="s">
        <v>412</v>
      </c>
      <c r="AC56" s="44" t="s">
        <v>413</v>
      </c>
      <c r="AD56" s="44" t="s">
        <v>414</v>
      </c>
      <c r="AE56" s="44"/>
      <c r="AF56" s="44"/>
      <c r="AG56" s="44"/>
    </row>
    <row r="57" spans="1:33" x14ac:dyDescent="0.25">
      <c r="A57" s="217" t="s">
        <v>433</v>
      </c>
      <c r="B57" s="44" t="s">
        <v>434</v>
      </c>
      <c r="C57" s="44">
        <v>26.8</v>
      </c>
      <c r="D57" s="52">
        <v>2.9</v>
      </c>
      <c r="E57" s="41">
        <v>9.5</v>
      </c>
      <c r="F57" s="41" t="s">
        <v>34</v>
      </c>
      <c r="G57" s="41">
        <v>4</v>
      </c>
      <c r="H57" s="41">
        <v>135</v>
      </c>
      <c r="I57" s="41">
        <f t="shared" si="14"/>
        <v>73.8</v>
      </c>
      <c r="J57" s="41">
        <v>0</v>
      </c>
      <c r="K57" s="41">
        <v>0</v>
      </c>
      <c r="L57" s="79">
        <f t="shared" si="15"/>
        <v>0.89</v>
      </c>
      <c r="M57" s="41">
        <v>90</v>
      </c>
      <c r="N57" s="42" t="s">
        <v>356</v>
      </c>
      <c r="O57" s="41">
        <v>90</v>
      </c>
      <c r="P57" s="42" t="s">
        <v>429</v>
      </c>
      <c r="Q57" s="41"/>
      <c r="R57" s="42"/>
      <c r="S57" s="43" t="s">
        <v>410</v>
      </c>
      <c r="T57" s="44" t="s">
        <v>411</v>
      </c>
      <c r="U57" s="44" t="s">
        <v>298</v>
      </c>
      <c r="V57" s="44" t="s">
        <v>102</v>
      </c>
      <c r="W57" s="44" t="s">
        <v>108</v>
      </c>
      <c r="X57" s="44" t="s">
        <v>48</v>
      </c>
      <c r="Y57" s="44" t="s">
        <v>144</v>
      </c>
      <c r="Z57" s="31" t="s">
        <v>153</v>
      </c>
      <c r="AA57" s="44" t="s">
        <v>151</v>
      </c>
      <c r="AB57" s="44" t="s">
        <v>412</v>
      </c>
      <c r="AC57" s="44" t="s">
        <v>413</v>
      </c>
      <c r="AD57" s="44" t="s">
        <v>414</v>
      </c>
      <c r="AE57" s="44"/>
      <c r="AF57" s="44"/>
      <c r="AG57" s="44"/>
    </row>
    <row r="58" spans="1:33" x14ac:dyDescent="0.25">
      <c r="A58" s="6"/>
      <c r="B58" s="6" t="s">
        <v>435</v>
      </c>
      <c r="C58" s="6">
        <v>5</v>
      </c>
      <c r="D58" s="51">
        <v>2.7</v>
      </c>
      <c r="E58" s="34">
        <v>9.5</v>
      </c>
      <c r="F58" s="34" t="s">
        <v>34</v>
      </c>
      <c r="G58" s="34">
        <v>4</v>
      </c>
      <c r="H58" s="34">
        <v>135</v>
      </c>
      <c r="I58" s="34">
        <f t="shared" si="14"/>
        <v>73.8</v>
      </c>
      <c r="J58" s="34">
        <v>0</v>
      </c>
      <c r="K58" s="34">
        <v>0</v>
      </c>
      <c r="L58" s="68">
        <f t="shared" si="15"/>
        <v>0.89</v>
      </c>
      <c r="M58" s="34">
        <v>90</v>
      </c>
      <c r="N58" s="35" t="s">
        <v>356</v>
      </c>
      <c r="O58" s="34">
        <v>90</v>
      </c>
      <c r="P58" s="35" t="s">
        <v>429</v>
      </c>
      <c r="Q58" s="34"/>
      <c r="R58" s="35"/>
      <c r="S58" s="40" t="s">
        <v>410</v>
      </c>
      <c r="T58" s="6" t="s">
        <v>411</v>
      </c>
      <c r="U58" s="6" t="s">
        <v>298</v>
      </c>
      <c r="V58" s="6" t="s">
        <v>102</v>
      </c>
      <c r="W58" s="6" t="s">
        <v>108</v>
      </c>
      <c r="X58" s="6" t="s">
        <v>48</v>
      </c>
      <c r="Y58" s="6" t="s">
        <v>144</v>
      </c>
      <c r="Z58" s="4" t="s">
        <v>153</v>
      </c>
      <c r="AA58" s="6" t="s">
        <v>151</v>
      </c>
      <c r="AB58" s="6" t="s">
        <v>412</v>
      </c>
      <c r="AC58" s="6" t="s">
        <v>413</v>
      </c>
      <c r="AD58" s="6" t="s">
        <v>414</v>
      </c>
      <c r="AE58" s="6"/>
      <c r="AF58" s="6"/>
      <c r="AG58" s="6"/>
    </row>
    <row r="59" spans="1:33" x14ac:dyDescent="0.25">
      <c r="A59" s="217" t="s">
        <v>402</v>
      </c>
      <c r="B59" s="44" t="s">
        <v>403</v>
      </c>
      <c r="C59" s="44">
        <v>12</v>
      </c>
      <c r="D59" s="52">
        <v>2.6</v>
      </c>
      <c r="E59" s="41">
        <v>9.5</v>
      </c>
      <c r="F59" s="41" t="s">
        <v>34</v>
      </c>
      <c r="G59" s="41">
        <v>4</v>
      </c>
      <c r="H59" s="41">
        <v>135</v>
      </c>
      <c r="I59" s="41">
        <f t="shared" si="14"/>
        <v>73.8</v>
      </c>
      <c r="J59" s="41">
        <v>0</v>
      </c>
      <c r="K59" s="41">
        <v>0</v>
      </c>
      <c r="L59" s="79">
        <f t="shared" si="15"/>
        <v>0.89</v>
      </c>
      <c r="M59" s="41">
        <v>90</v>
      </c>
      <c r="N59" s="42" t="s">
        <v>356</v>
      </c>
      <c r="O59" s="41">
        <v>90</v>
      </c>
      <c r="P59" s="42" t="s">
        <v>429</v>
      </c>
      <c r="Q59" s="41"/>
      <c r="R59" s="42"/>
      <c r="S59" s="43" t="s">
        <v>410</v>
      </c>
      <c r="T59" s="44" t="s">
        <v>411</v>
      </c>
      <c r="U59" s="44" t="s">
        <v>298</v>
      </c>
      <c r="V59" s="44" t="s">
        <v>102</v>
      </c>
      <c r="W59" s="44" t="s">
        <v>108</v>
      </c>
      <c r="X59" s="44" t="s">
        <v>48</v>
      </c>
      <c r="Y59" s="44" t="s">
        <v>144</v>
      </c>
      <c r="Z59" s="31" t="s">
        <v>153</v>
      </c>
      <c r="AA59" s="44" t="s">
        <v>151</v>
      </c>
      <c r="AB59" s="44" t="s">
        <v>412</v>
      </c>
      <c r="AC59" s="44" t="s">
        <v>413</v>
      </c>
      <c r="AD59" s="44" t="s">
        <v>414</v>
      </c>
      <c r="AE59" s="6"/>
      <c r="AF59" s="6"/>
      <c r="AG59" s="6"/>
    </row>
    <row r="60" spans="1:33" x14ac:dyDescent="0.25">
      <c r="A60" s="217" t="s">
        <v>404</v>
      </c>
      <c r="B60" s="44" t="s">
        <v>405</v>
      </c>
      <c r="C60" s="44">
        <v>766.8</v>
      </c>
      <c r="D60" s="52">
        <v>2.5</v>
      </c>
      <c r="E60" s="41">
        <v>9.5</v>
      </c>
      <c r="F60" s="41" t="s">
        <v>34</v>
      </c>
      <c r="G60" s="41">
        <v>4</v>
      </c>
      <c r="H60" s="41">
        <v>135</v>
      </c>
      <c r="I60" s="41">
        <f t="shared" si="14"/>
        <v>73.8</v>
      </c>
      <c r="J60" s="41">
        <v>0</v>
      </c>
      <c r="K60" s="41">
        <v>0</v>
      </c>
      <c r="L60" s="79">
        <f t="shared" si="15"/>
        <v>0.89</v>
      </c>
      <c r="M60" s="41">
        <v>90</v>
      </c>
      <c r="N60" s="42" t="s">
        <v>356</v>
      </c>
      <c r="O60" s="41">
        <v>90</v>
      </c>
      <c r="P60" s="42" t="s">
        <v>429</v>
      </c>
      <c r="Q60" s="41"/>
      <c r="R60" s="42"/>
      <c r="S60" s="43" t="s">
        <v>410</v>
      </c>
      <c r="T60" s="44" t="s">
        <v>411</v>
      </c>
      <c r="U60" s="44" t="s">
        <v>298</v>
      </c>
      <c r="V60" s="44" t="s">
        <v>102</v>
      </c>
      <c r="W60" s="44" t="s">
        <v>108</v>
      </c>
      <c r="X60" s="44" t="s">
        <v>48</v>
      </c>
      <c r="Y60" s="44" t="s">
        <v>144</v>
      </c>
      <c r="Z60" s="31" t="s">
        <v>153</v>
      </c>
      <c r="AA60" s="44" t="s">
        <v>151</v>
      </c>
      <c r="AB60" s="44" t="s">
        <v>412</v>
      </c>
      <c r="AC60" s="44" t="s">
        <v>413</v>
      </c>
      <c r="AD60" s="44" t="s">
        <v>414</v>
      </c>
      <c r="AE60" s="6"/>
      <c r="AF60" s="6"/>
      <c r="AG60" s="6"/>
    </row>
    <row r="61" spans="1:33" x14ac:dyDescent="0.25">
      <c r="A61" s="6"/>
      <c r="B61" s="6" t="s">
        <v>405</v>
      </c>
      <c r="C61" s="6">
        <v>30</v>
      </c>
      <c r="D61" s="51">
        <v>2.85</v>
      </c>
      <c r="E61" s="34">
        <v>9.5</v>
      </c>
      <c r="F61" s="34" t="s">
        <v>34</v>
      </c>
      <c r="G61" s="34">
        <v>3.2</v>
      </c>
      <c r="H61" s="34">
        <v>100</v>
      </c>
      <c r="I61" s="34">
        <f>M61*0.46+O61*0.21</f>
        <v>61.849999999999994</v>
      </c>
      <c r="J61" s="34">
        <v>0</v>
      </c>
      <c r="K61" s="34">
        <v>0</v>
      </c>
      <c r="L61" s="68">
        <f t="shared" si="15"/>
        <v>0.89</v>
      </c>
      <c r="M61" s="34">
        <v>92</v>
      </c>
      <c r="N61" s="35" t="s">
        <v>356</v>
      </c>
      <c r="O61" s="34">
        <v>93</v>
      </c>
      <c r="P61" s="35" t="s">
        <v>454</v>
      </c>
      <c r="Q61" s="34"/>
      <c r="R61" s="35"/>
      <c r="S61" s="40" t="s">
        <v>410</v>
      </c>
      <c r="T61" s="6" t="s">
        <v>411</v>
      </c>
      <c r="U61" s="6" t="s">
        <v>298</v>
      </c>
      <c r="V61" s="6" t="s">
        <v>102</v>
      </c>
      <c r="W61" s="6" t="s">
        <v>108</v>
      </c>
      <c r="X61" s="6" t="s">
        <v>48</v>
      </c>
      <c r="Y61" s="6" t="s">
        <v>144</v>
      </c>
      <c r="Z61" s="4" t="s">
        <v>153</v>
      </c>
      <c r="AA61" s="6" t="s">
        <v>151</v>
      </c>
      <c r="AB61" s="6" t="s">
        <v>412</v>
      </c>
      <c r="AC61" s="6" t="s">
        <v>413</v>
      </c>
      <c r="AD61" s="6" t="s">
        <v>414</v>
      </c>
      <c r="AE61" s="6"/>
      <c r="AF61" s="6"/>
      <c r="AG61" s="6"/>
    </row>
    <row r="62" spans="1:33" x14ac:dyDescent="0.25">
      <c r="A62" s="217" t="s">
        <v>436</v>
      </c>
      <c r="B62" s="44" t="s">
        <v>18</v>
      </c>
      <c r="C62" s="44">
        <v>3.4</v>
      </c>
      <c r="D62" s="52">
        <v>3.7</v>
      </c>
      <c r="E62" s="41">
        <v>9.5</v>
      </c>
      <c r="F62" s="41" t="s">
        <v>34</v>
      </c>
      <c r="G62" s="41">
        <v>4</v>
      </c>
      <c r="H62" s="41">
        <v>120</v>
      </c>
      <c r="I62" s="41">
        <f>M62*0.46</f>
        <v>92</v>
      </c>
      <c r="J62" s="41">
        <v>0</v>
      </c>
      <c r="K62" s="41">
        <v>0</v>
      </c>
      <c r="L62" s="79">
        <f t="shared" si="2"/>
        <v>1.8200000000000003</v>
      </c>
      <c r="M62" s="41">
        <v>200</v>
      </c>
      <c r="N62" s="42" t="s">
        <v>356</v>
      </c>
      <c r="O62" s="41"/>
      <c r="P62" s="42"/>
      <c r="Q62" s="41"/>
      <c r="R62" s="42"/>
      <c r="S62" s="43" t="s">
        <v>410</v>
      </c>
      <c r="T62" s="44" t="s">
        <v>411</v>
      </c>
      <c r="U62" s="44" t="s">
        <v>298</v>
      </c>
      <c r="V62" s="44" t="s">
        <v>102</v>
      </c>
      <c r="W62" s="44" t="s">
        <v>108</v>
      </c>
      <c r="X62" s="44" t="s">
        <v>48</v>
      </c>
      <c r="Y62" s="31" t="s">
        <v>52</v>
      </c>
      <c r="Z62" s="31" t="s">
        <v>47</v>
      </c>
      <c r="AA62" s="44" t="s">
        <v>89</v>
      </c>
      <c r="AB62" s="44" t="s">
        <v>144</v>
      </c>
      <c r="AC62" s="31" t="s">
        <v>153</v>
      </c>
      <c r="AD62" s="44" t="s">
        <v>40</v>
      </c>
      <c r="AE62" s="44" t="s">
        <v>412</v>
      </c>
      <c r="AF62" s="44" t="s">
        <v>413</v>
      </c>
      <c r="AG62" s="44" t="s">
        <v>414</v>
      </c>
    </row>
    <row r="63" spans="1:33" x14ac:dyDescent="0.25">
      <c r="A63" s="4"/>
      <c r="B63" s="6"/>
      <c r="C63" s="6"/>
      <c r="D63" s="51"/>
      <c r="E63" s="32"/>
      <c r="F63" s="32"/>
      <c r="G63" s="32"/>
      <c r="H63" s="32"/>
      <c r="I63" s="32"/>
      <c r="J63" s="32"/>
      <c r="K63" s="32"/>
      <c r="L63" s="78"/>
      <c r="M63" s="32"/>
      <c r="N63" s="33"/>
      <c r="O63" s="32"/>
      <c r="P63" s="33"/>
      <c r="Q63" s="32"/>
      <c r="R63" s="33"/>
      <c r="S63" s="40"/>
      <c r="T63" s="13"/>
      <c r="U63" s="13"/>
      <c r="V63" s="13"/>
      <c r="W63" s="13"/>
      <c r="X63" s="13"/>
      <c r="Y63" s="13"/>
      <c r="Z63" s="13"/>
      <c r="AA63" s="13"/>
      <c r="AB63" s="13"/>
    </row>
    <row r="64" spans="1:33" x14ac:dyDescent="0.25">
      <c r="A64" s="4"/>
      <c r="B64" s="6"/>
      <c r="C64" s="6"/>
      <c r="D64" s="32"/>
      <c r="E64" s="32"/>
      <c r="F64" s="32"/>
      <c r="G64" s="32"/>
      <c r="H64" s="32"/>
      <c r="I64" s="32"/>
      <c r="J64" s="32"/>
      <c r="K64" s="32"/>
      <c r="L64" s="78"/>
      <c r="M64" s="32"/>
      <c r="N64" s="33"/>
      <c r="O64" s="32"/>
      <c r="P64" s="33"/>
      <c r="Q64" s="32"/>
      <c r="R64" s="33"/>
      <c r="S64" s="6"/>
      <c r="T64" s="13"/>
      <c r="U64" s="13"/>
      <c r="V64" s="13"/>
      <c r="W64" s="13"/>
      <c r="X64" s="13"/>
      <c r="Y64" s="13"/>
      <c r="Z64" s="13"/>
      <c r="AA64" s="13"/>
      <c r="AB64" s="13"/>
    </row>
    <row r="65" spans="1:30" ht="15.75" thickBot="1" x14ac:dyDescent="0.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32"/>
      <c r="P65" s="33"/>
      <c r="Q65" s="32"/>
      <c r="R65" s="35"/>
      <c r="S65" s="6"/>
      <c r="T65" s="13"/>
      <c r="U65" s="13"/>
      <c r="V65" s="13"/>
      <c r="W65" s="13"/>
      <c r="X65" s="13"/>
      <c r="Y65" s="13"/>
      <c r="Z65" s="13"/>
      <c r="AA65" s="13"/>
      <c r="AB65" s="13"/>
    </row>
    <row r="66" spans="1:30" x14ac:dyDescent="0.25">
      <c r="A66" s="6"/>
      <c r="B66" s="6"/>
      <c r="C66" s="18"/>
      <c r="D66" s="53" t="s">
        <v>248</v>
      </c>
      <c r="E66" s="53" t="s">
        <v>249</v>
      </c>
      <c r="F66" s="53" t="s">
        <v>250</v>
      </c>
      <c r="G66" s="53" t="s">
        <v>251</v>
      </c>
      <c r="H66" s="53" t="s">
        <v>252</v>
      </c>
      <c r="I66" s="53" t="s">
        <v>253</v>
      </c>
      <c r="J66" s="53" t="s">
        <v>205</v>
      </c>
      <c r="K66" s="53" t="s">
        <v>205</v>
      </c>
      <c r="L66" s="34"/>
      <c r="M66" s="34"/>
      <c r="N66" s="34" t="s">
        <v>206</v>
      </c>
      <c r="O66" s="34"/>
      <c r="P66" s="34"/>
      <c r="Q66" s="34"/>
      <c r="R66" s="35"/>
      <c r="S66" s="19" t="s">
        <v>215</v>
      </c>
      <c r="T66" s="1"/>
      <c r="U66" s="2"/>
      <c r="V66" s="6"/>
      <c r="W66" s="6"/>
      <c r="X66" s="6"/>
      <c r="Y66" s="6"/>
      <c r="Z66" s="6"/>
      <c r="AA66" s="6"/>
      <c r="AB66" s="6"/>
      <c r="AC66" s="4"/>
      <c r="AD66" s="4"/>
    </row>
    <row r="67" spans="1:30" ht="15.75" thickBot="1" x14ac:dyDescent="0.3">
      <c r="A67" s="90" t="s">
        <v>488</v>
      </c>
      <c r="B67" s="6"/>
      <c r="C67" s="6"/>
      <c r="D67" s="53" t="s">
        <v>489</v>
      </c>
      <c r="E67" s="53" t="s">
        <v>490</v>
      </c>
      <c r="F67" s="53" t="s">
        <v>281</v>
      </c>
      <c r="G67" s="53" t="s">
        <v>491</v>
      </c>
      <c r="H67" s="53" t="s">
        <v>492</v>
      </c>
      <c r="I67" s="53" t="s">
        <v>493</v>
      </c>
      <c r="J67" s="53" t="s">
        <v>494</v>
      </c>
      <c r="K67" s="53" t="s">
        <v>495</v>
      </c>
      <c r="L67" s="34"/>
      <c r="M67" s="34"/>
      <c r="N67" s="34">
        <f>1000*4.5*1000/700000</f>
        <v>6.4285714285714288</v>
      </c>
      <c r="O67" s="34"/>
      <c r="P67" s="34"/>
      <c r="Q67" s="34"/>
      <c r="R67" s="34"/>
      <c r="S67" s="80" t="s">
        <v>98</v>
      </c>
      <c r="T67" s="44" t="s">
        <v>231</v>
      </c>
      <c r="U67" s="81" t="s">
        <v>218</v>
      </c>
      <c r="V67" s="6"/>
      <c r="X67" s="6"/>
      <c r="Y67" s="6"/>
      <c r="Z67" s="6"/>
      <c r="AA67" s="6"/>
      <c r="AB67" s="6"/>
      <c r="AC67" s="4"/>
      <c r="AD67" s="4"/>
    </row>
    <row r="68" spans="1:30" ht="15.75" thickBot="1" x14ac:dyDescent="0.3">
      <c r="A68" s="207" t="s">
        <v>7</v>
      </c>
      <c r="B68" s="106"/>
      <c r="C68" s="106"/>
      <c r="D68" s="151">
        <f>(D3*$C$3+D4*$C$4+D6*$C$6+D7*$C$7+D8*$C$8+D9*$C$9+C10*D10+C11*D11+C12*D12+C13*D13+C14*D14+C15*D15+C16*D16)/SUM(C3:C4,C6:C16)</f>
        <v>2.5280833369057318</v>
      </c>
      <c r="E68" s="151">
        <f>(E3*$C$3+E4*$C$4+E6*$C$6+E7*$C$7+E8*$C$8+E9*$C$9+C10*E10+C11*E11+C12*E12+C13*E13+C14*E14+C15*E15+C16*E16)/SUM(C3:C4,C6:C16)</f>
        <v>10.245916748831824</v>
      </c>
      <c r="F68" s="152">
        <f>((H3*$C$3+H4*$C$4+H6*$C$6+H7*$C$7+H8*$C$8+H9*$C$9+C10*H10+C11*H11+C12*H12+C13*H13+C14*H14+C15*H15+C16*H16)/SUM(C3:C4,C6:C16))*36</f>
        <v>4530.4842406804528</v>
      </c>
      <c r="G68" s="152">
        <f>(I3*$C$3+I4*$C$4+I6*$C$6+I7*$C$7+I8*$C$8+I9*$C$9+C10*I10+C11*I11+C12*I12+C13*I13+C14*I14+C15*I15+C16*I16)/SUM(C3:C4,C6:C16)</f>
        <v>98.225901316071486</v>
      </c>
      <c r="H68" s="152">
        <f>(J3*$C$3+J4*$C$4+J6*$C$6+J7*$C$7+J8*$C$8+J9*$C$9+C10*J10+C11*J11+C12*J12+C13*J13+C14*J14+C15*J15+C16*J16)/SUM(C3:C4,C6:C16)</f>
        <v>38.024606678955713</v>
      </c>
      <c r="I68" s="152">
        <f>(K3*$C$3+K4*$C$4+K6*$C$6+K7*$C$7+K8*$C$8+K9*$C$9+C10*K10+C11*K11+C12*K12+C13*K13+C14*K14+C15*K15+C16*K16)/SUM($C$3:$C$4,$C$6:$C$16)</f>
        <v>2.1434389334247865</v>
      </c>
      <c r="J68" s="152">
        <f>(G3*$C$3+G4*$C$4+G6*$C$6+G7*$C$7+G8*$C$8+G9*$C$9+C10*G10+C11*G11+C12*G12+C13*G13+C14*G14+C15*G15+C16*G16)/SUM($C$3:$C$4,$C$6:$C$16)</f>
        <v>4.5341449822094564</v>
      </c>
      <c r="K68" s="151">
        <f>(L3*$C$3+L4*$C$4+L6*$C$6+L7*$C$7+L8*$C$8+L9*$C$9+C10*L10+C11*L11+C12*L12+C13*L13+C14*L14+C15*L15+C16*L16)/SUM($C$3:$C$4,$C$6:$C$16)</f>
        <v>1.2670784927337417</v>
      </c>
      <c r="M68" s="96"/>
      <c r="N68" s="4"/>
      <c r="O68" s="4" t="s">
        <v>205</v>
      </c>
      <c r="P68" s="36"/>
      <c r="Q68" s="4"/>
      <c r="R68" s="4"/>
      <c r="S68" s="40" t="s">
        <v>207</v>
      </c>
      <c r="T68" s="6" t="s">
        <v>232</v>
      </c>
      <c r="U68" s="77" t="s">
        <v>233</v>
      </c>
      <c r="V68" s="4"/>
      <c r="W68" s="4"/>
      <c r="X68" s="4"/>
      <c r="Y68" s="4"/>
      <c r="Z68" s="4"/>
      <c r="AA68" s="4"/>
      <c r="AB68" s="4"/>
      <c r="AC68" s="4"/>
      <c r="AD68" s="4"/>
    </row>
    <row r="69" spans="1:30" ht="15.75" thickBot="1" x14ac:dyDescent="0.3">
      <c r="A69" s="207" t="s">
        <v>15</v>
      </c>
      <c r="B69" s="106"/>
      <c r="C69" s="106"/>
      <c r="D69" s="219">
        <f>(C17*D17+C18*D18+C19*D19+C20*D20+C21*D21+C22*D22)/SUM(C17:C22)</f>
        <v>3.4101365885136592</v>
      </c>
      <c r="E69" s="218">
        <f>(C17*E17+C18*E18+C19*E19+C20*E20+C21*E21+C22*E22)/SUM(C17:C22)</f>
        <v>9.0697999569799972</v>
      </c>
      <c r="F69" s="110">
        <f>(C18*H18+C19*H19+C20*H20+C21*H21+C22*H22)/SUM(C18:C22)*36</f>
        <v>4004.6533127889065</v>
      </c>
      <c r="G69" s="110">
        <f>(C17*I17+C18*I18+C19*I19+C20*I20+C21*I21+C22*I22)/SUM(C17:C22)</f>
        <v>112.21940202194021</v>
      </c>
      <c r="H69" s="155">
        <f>0</f>
        <v>0</v>
      </c>
      <c r="I69" s="155">
        <v>0</v>
      </c>
      <c r="J69" s="110">
        <f>(C17*G17+C18*G18+C19*G19+C20*G20+C21*G21+C22*G22)/SUM(C17:C22)</f>
        <v>2.6233598623359859</v>
      </c>
      <c r="K69" s="109">
        <f>(C17*L17+C18*L18+C19*L19+C20*L20+C21*L21+C22*L22)/SUM(C17:C22)</f>
        <v>1.0069219186921921</v>
      </c>
      <c r="L69" s="102" t="s">
        <v>455</v>
      </c>
      <c r="P69" s="22"/>
      <c r="S69" s="40" t="s">
        <v>102</v>
      </c>
      <c r="T69" s="6" t="s">
        <v>234</v>
      </c>
      <c r="U69" s="76" t="s">
        <v>218</v>
      </c>
    </row>
    <row r="70" spans="1:30" ht="15.75" thickBot="1" x14ac:dyDescent="0.3">
      <c r="A70" s="207" t="s">
        <v>8</v>
      </c>
      <c r="B70" s="106"/>
      <c r="C70" s="106"/>
      <c r="D70" s="149">
        <f>(D23*$C$23+D24*$C$24+D25*$C$25)/($C$23+$C$24+$C$25)</f>
        <v>2.5725354248819174</v>
      </c>
      <c r="E70" s="149">
        <f>(E23*$C$23+E24*$C$24+E25*$C$25)/($C$23+$C$24+$C$25)</f>
        <v>9.9506651644494539</v>
      </c>
      <c r="F70" s="150">
        <f>(H23*$C$23+H24*$C$24+H25*$C$25)/($C$23+$C$24+$C$25)*36</f>
        <v>3929.6659011136635</v>
      </c>
      <c r="G70" s="150">
        <f>(I23*$C$23+I24*$C$24+I25*$C$25)/($C$23+$C$24+$C$25)</f>
        <v>110.47084109719636</v>
      </c>
      <c r="H70" s="154">
        <v>0</v>
      </c>
      <c r="I70" s="155">
        <v>0</v>
      </c>
      <c r="J70" s="150">
        <f>(G23*$C$23+G24*$C$24+G25*$C$25)/($C$23+$C$24+$C$25)</f>
        <v>3.5840013866620444</v>
      </c>
      <c r="K70" s="149">
        <f>(L23*$C$23+L24*$C$24+L25*$C$25)/($C$23+$C$24+$C$25)</f>
        <v>1.6558885470381768</v>
      </c>
      <c r="N70">
        <f>1500000*0.4</f>
        <v>600000</v>
      </c>
      <c r="P70" s="22"/>
      <c r="S70" s="40" t="s">
        <v>109</v>
      </c>
      <c r="T70" s="6" t="s">
        <v>225</v>
      </c>
      <c r="U70" s="76"/>
    </row>
    <row r="71" spans="1:30" ht="15.75" thickBot="1" x14ac:dyDescent="0.3">
      <c r="A71" s="207" t="s">
        <v>270</v>
      </c>
      <c r="B71" s="106"/>
      <c r="C71" s="106"/>
      <c r="D71" s="149">
        <f>(C26*D26+C27*D27)/SUM(C26:C27)</f>
        <v>2.8000000000000003</v>
      </c>
      <c r="E71" s="150">
        <f>(C26*E26+C27*E27)/SUM(C26:C27)</f>
        <v>9.5</v>
      </c>
      <c r="F71" s="150">
        <f>(H26*C26+H27*C27)/SUM(C26:C27)*36</f>
        <v>2555.294117647059</v>
      </c>
      <c r="G71" s="150">
        <f>(C26*I26+C27*I27)/SUM(C26:C27)</f>
        <v>51.035294117647069</v>
      </c>
      <c r="H71" s="150">
        <f>(J26*C26+J27*C27)/SUM(C26:C27)</f>
        <v>8.5784313725490193</v>
      </c>
      <c r="I71" s="220">
        <v>0</v>
      </c>
      <c r="J71" s="150">
        <f>(G26*C26+G27*C27)/SUM(C26:C27)</f>
        <v>4.9803921568627452</v>
      </c>
      <c r="K71" s="149">
        <f>(L26*C26+L27*C27)/SUM(C26:C27)</f>
        <v>1.0160784313725491</v>
      </c>
      <c r="N71">
        <f>N70*0.004</f>
        <v>2400</v>
      </c>
      <c r="P71" s="22"/>
      <c r="S71" s="37" t="s">
        <v>37</v>
      </c>
      <c r="T71" s="4" t="s">
        <v>226</v>
      </c>
      <c r="U71" s="76" t="s">
        <v>217</v>
      </c>
    </row>
    <row r="72" spans="1:30" ht="15.75" thickBot="1" x14ac:dyDescent="0.3">
      <c r="A72" s="207" t="s">
        <v>291</v>
      </c>
      <c r="B72" s="106"/>
      <c r="C72" s="106"/>
      <c r="D72" s="149">
        <f>(C28*D28+C29*D29+C30*D30+C31*D31+C32*D32)/SUM(C28:C32)</f>
        <v>3.0448814926878471</v>
      </c>
      <c r="E72" s="150">
        <f>(C28*E28+C29*E29+C30*E30+C31*E31+C32*E32)/SUM(C28:C32)</f>
        <v>9.6323751891074139</v>
      </c>
      <c r="F72" s="150">
        <f>(C28*H28+C29*H29+C30*H30+C31*H31+C32*H32)/SUM(C28:C32)*36</f>
        <v>4493.1921331316189</v>
      </c>
      <c r="G72" s="150">
        <f>(C28*I28+C29*I29+C30*I30+C31*I31+C32*I32)/SUM(C28:C32)</f>
        <v>83.147957639939477</v>
      </c>
      <c r="H72" s="154">
        <v>0</v>
      </c>
      <c r="I72" s="220">
        <v>0</v>
      </c>
      <c r="J72" s="150">
        <f>(C28*G28+C29*G29+C30*G30+C31*G31+C32*G32)/SUM(C28:C32)</f>
        <v>4.0378214826021184</v>
      </c>
      <c r="K72" s="149">
        <f>(C28*L28+C29*L29+C30*L30+C31*L31+C32*L32)/SUM(C28:C32)</f>
        <v>1.8752193645990929</v>
      </c>
      <c r="L72" s="127"/>
      <c r="M72" s="127"/>
      <c r="N72" s="127"/>
      <c r="P72" s="22"/>
      <c r="T72" s="4"/>
      <c r="U72" s="76"/>
    </row>
    <row r="73" spans="1:30" ht="15.75" thickBot="1" x14ac:dyDescent="0.3">
      <c r="A73" s="207" t="s">
        <v>316</v>
      </c>
      <c r="B73" s="106"/>
      <c r="C73" s="106"/>
      <c r="D73" s="149">
        <f>(C33*D33+C34*D34+C35*D35+C36*D36+C37*D37+C38*D38+C39*D39+C40*D40+C41*D41+C42*D42)/SUM(C33:C42)</f>
        <v>3.6773091707852825</v>
      </c>
      <c r="E73" s="150">
        <f>(C33*E33+C34*E34+C35*E35+C36*E36+C37*E37+C38*E38+C39*E39+C40*E40+C41*E41+C42*E42)/SUM(C33:C42)</f>
        <v>9.5263591433278432</v>
      </c>
      <c r="F73" s="150">
        <f>(C33*H33+C34*H34+C35*H35+C36*H36+C37*H37+C38*H38+C39*H39+C40*H40+C41*H41+C42*H42)/SUM(C33:C42)*36</f>
        <v>4195.6112026359142</v>
      </c>
      <c r="G73" s="220">
        <f>I33</f>
        <v>92</v>
      </c>
      <c r="H73" s="154">
        <f>J33</f>
        <v>0</v>
      </c>
      <c r="I73" s="220">
        <f>K33</f>
        <v>0</v>
      </c>
      <c r="J73" s="150">
        <f>(C33*G33+C34*G34+C35*G35+C36*G36+C37*G37+C38*G38+C39*G39+C40*G40+C41*G41+C42*G42)/SUM(C33:C42)</f>
        <v>4.0087863811092808</v>
      </c>
      <c r="K73" s="149">
        <f>(C33*L33+C34*L34+C35*L35+C36*L36+C37*L37+C38*L38+C39*L39+C40*L40+C41*L41+C42*L42)/SUM(C33:C42)</f>
        <v>1.8328281164195501</v>
      </c>
      <c r="L73" s="127"/>
      <c r="M73" s="127"/>
      <c r="N73" s="127"/>
      <c r="P73" s="22"/>
      <c r="T73" s="4"/>
      <c r="U73" s="76"/>
    </row>
    <row r="74" spans="1:30" ht="15.75" thickBot="1" x14ac:dyDescent="0.3">
      <c r="A74" s="207" t="s">
        <v>23</v>
      </c>
      <c r="B74" s="106"/>
      <c r="C74" s="106"/>
      <c r="D74" s="149">
        <f>(C43*D43+C44*D44+C45*D45+C46*D46+C47*D47+C48*D48)/SUM(C43:C48)</f>
        <v>3.6584622489032554</v>
      </c>
      <c r="E74" s="150">
        <f>(E43)</f>
        <v>9.5</v>
      </c>
      <c r="F74" s="150">
        <f>(C43*H43+C44*H44+C45*H45+C46*H46+C47*H47+C48*H48)/SUM(C43:C48)*36</f>
        <v>4098.6054029092584</v>
      </c>
      <c r="G74" s="220">
        <f>I43</f>
        <v>92</v>
      </c>
      <c r="H74" s="154">
        <f>J43</f>
        <v>0</v>
      </c>
      <c r="I74" s="220">
        <f>K43</f>
        <v>0</v>
      </c>
      <c r="J74" s="150">
        <f>G43</f>
        <v>4</v>
      </c>
      <c r="K74" s="149">
        <f>L43</f>
        <v>1.8200000000000003</v>
      </c>
      <c r="L74" s="127"/>
      <c r="P74" s="22"/>
      <c r="T74" s="4"/>
      <c r="U74" s="76"/>
    </row>
    <row r="75" spans="1:30" ht="15.75" thickBot="1" x14ac:dyDescent="0.3">
      <c r="A75" s="207" t="s">
        <v>385</v>
      </c>
      <c r="B75" s="106"/>
      <c r="C75" s="106"/>
      <c r="D75" s="149">
        <f>(C49*D49+C50*D50+C51*D51+C52*D52+C53*D53)/SUM(C49:C53)</f>
        <v>2.4063160785390636</v>
      </c>
      <c r="E75" s="150">
        <f>(C49*E49+C50*E50+C51*E51+C52*E52+C53*E53)/SUM(C49:C53)</f>
        <v>9.1567348620074149</v>
      </c>
      <c r="F75" s="150">
        <f>(C49*H49+C50*H50+C51*H51+C52*H52+C53*H53)/SUM(C49:C53)*36</f>
        <v>4814.3017987093235</v>
      </c>
      <c r="G75" s="150">
        <f>(C49*I49+C50*I50+C51*I51+C52*I52+C53*I53)/SUM(C49:C53)</f>
        <v>47.135246464369082</v>
      </c>
      <c r="H75" s="154">
        <f>J49</f>
        <v>0</v>
      </c>
      <c r="I75" s="220">
        <f>K49</f>
        <v>0</v>
      </c>
      <c r="J75" s="150">
        <f>(C49*G49+C50*G50+C51*G51+C52*G52+C53*G53)/SUM(C49:C53)</f>
        <v>4.3432651379925851</v>
      </c>
      <c r="K75" s="149">
        <f>(C49*L49+C50*L50+C51*L51+C52*L52+C53*L53)/SUM(C49:C53)</f>
        <v>1.657635589729507</v>
      </c>
      <c r="L75" s="127"/>
      <c r="P75" s="22"/>
      <c r="T75" s="4"/>
      <c r="U75" s="76"/>
    </row>
    <row r="76" spans="1:30" ht="15.75" thickBot="1" x14ac:dyDescent="0.3">
      <c r="A76" s="207" t="s">
        <v>427</v>
      </c>
      <c r="B76" s="106"/>
      <c r="C76" s="106"/>
      <c r="D76" s="149">
        <f>(C54*D54+C55*D55)/SUM(C54:C55)</f>
        <v>2.6402414486921533</v>
      </c>
      <c r="E76" s="150">
        <f>(E54)</f>
        <v>9.5</v>
      </c>
      <c r="F76" s="150">
        <f>H54*36</f>
        <v>4860</v>
      </c>
      <c r="G76" s="220">
        <f>I54</f>
        <v>73.8</v>
      </c>
      <c r="H76" s="154">
        <f>J54</f>
        <v>0</v>
      </c>
      <c r="I76" s="220">
        <f>K54</f>
        <v>0</v>
      </c>
      <c r="J76" s="150">
        <f>G54</f>
        <v>4</v>
      </c>
      <c r="K76" s="149">
        <f>L54</f>
        <v>0.89</v>
      </c>
      <c r="L76" s="127"/>
      <c r="P76" s="22"/>
      <c r="T76" s="4"/>
      <c r="U76" s="76"/>
    </row>
    <row r="77" spans="1:30" ht="15.75" thickBot="1" x14ac:dyDescent="0.3">
      <c r="A77" s="208" t="s">
        <v>431</v>
      </c>
      <c r="B77" s="64"/>
      <c r="C77" s="64"/>
      <c r="D77" s="123">
        <f>D56</f>
        <v>2.6</v>
      </c>
      <c r="E77" s="93">
        <f>E56</f>
        <v>9.5</v>
      </c>
      <c r="F77" s="93">
        <f>H56*36</f>
        <v>4860</v>
      </c>
      <c r="G77" s="25">
        <f t="shared" ref="G77:I78" si="16">I56</f>
        <v>73.8</v>
      </c>
      <c r="H77" s="221">
        <f t="shared" si="16"/>
        <v>0</v>
      </c>
      <c r="I77" s="25">
        <f t="shared" si="16"/>
        <v>0</v>
      </c>
      <c r="J77" s="93">
        <f>G56</f>
        <v>4</v>
      </c>
      <c r="K77" s="123">
        <f>L56</f>
        <v>0.89</v>
      </c>
      <c r="L77" s="127"/>
      <c r="P77" s="22"/>
      <c r="T77" s="4"/>
      <c r="U77" s="76"/>
    </row>
    <row r="78" spans="1:30" ht="15.75" thickBot="1" x14ac:dyDescent="0.3">
      <c r="A78" s="207" t="s">
        <v>433</v>
      </c>
      <c r="B78" s="106"/>
      <c r="C78" s="106"/>
      <c r="D78" s="149">
        <f>(C57*D57+C58*D58)/SUM(C57+C58)</f>
        <v>2.8685534591194966</v>
      </c>
      <c r="E78" s="150">
        <f>E57</f>
        <v>9.5</v>
      </c>
      <c r="F78" s="150">
        <f>H57*36</f>
        <v>4860</v>
      </c>
      <c r="G78" s="220">
        <f t="shared" si="16"/>
        <v>73.8</v>
      </c>
      <c r="H78" s="154">
        <f t="shared" si="16"/>
        <v>0</v>
      </c>
      <c r="I78" s="220">
        <f t="shared" si="16"/>
        <v>0</v>
      </c>
      <c r="J78" s="150">
        <f>G57</f>
        <v>4</v>
      </c>
      <c r="K78" s="149">
        <f>L57</f>
        <v>0.89</v>
      </c>
      <c r="L78" s="127"/>
      <c r="P78" s="22"/>
      <c r="T78" s="4"/>
      <c r="U78" s="76"/>
    </row>
    <row r="79" spans="1:30" ht="15.75" thickBot="1" x14ac:dyDescent="0.3">
      <c r="A79" s="208" t="s">
        <v>402</v>
      </c>
      <c r="B79" s="64"/>
      <c r="C79" s="64"/>
      <c r="D79" s="123">
        <f>D59</f>
        <v>2.6</v>
      </c>
      <c r="E79" s="93">
        <f>E59</f>
        <v>9.5</v>
      </c>
      <c r="F79" s="93">
        <f>H59*36</f>
        <v>4860</v>
      </c>
      <c r="G79" s="25">
        <f>I59</f>
        <v>73.8</v>
      </c>
      <c r="H79" s="221">
        <f>J59</f>
        <v>0</v>
      </c>
      <c r="I79" s="25">
        <f>K59</f>
        <v>0</v>
      </c>
      <c r="J79" s="93">
        <f>G59</f>
        <v>4</v>
      </c>
      <c r="K79" s="123">
        <f>L59</f>
        <v>0.89</v>
      </c>
      <c r="L79" s="127"/>
      <c r="P79" s="22"/>
      <c r="T79" s="4"/>
      <c r="U79" s="76"/>
    </row>
    <row r="80" spans="1:30" ht="15.75" thickBot="1" x14ac:dyDescent="0.3">
      <c r="A80" s="207" t="s">
        <v>404</v>
      </c>
      <c r="B80" s="106"/>
      <c r="C80" s="106"/>
      <c r="D80" s="149">
        <f>(C60*D60+C61*D61)/SUM(C60:C61)</f>
        <v>2.5131777108433737</v>
      </c>
      <c r="E80" s="150">
        <f>E60</f>
        <v>9.5</v>
      </c>
      <c r="F80" s="150">
        <f>(C60*H60+C61*H61)/SUM(C60:C61)*36</f>
        <v>4812.560240963855</v>
      </c>
      <c r="G80" s="150">
        <f>(C60*I60+C61*I61)/SUM(C60:C61)</f>
        <v>73.350075301204825</v>
      </c>
      <c r="H80" s="154">
        <f>J60</f>
        <v>0</v>
      </c>
      <c r="I80" s="220">
        <f>K61</f>
        <v>0</v>
      </c>
      <c r="J80" s="150">
        <f>(C60*G60+C61*G61)/SUM(C60:C61)</f>
        <v>3.9698795180722892</v>
      </c>
      <c r="K80" s="149">
        <f>L60</f>
        <v>0.89</v>
      </c>
      <c r="L80" s="127"/>
      <c r="P80" s="22"/>
      <c r="T80" s="4"/>
      <c r="U80" s="76"/>
    </row>
    <row r="81" spans="1:21" ht="15.75" thickBot="1" x14ac:dyDescent="0.3">
      <c r="A81" s="208" t="s">
        <v>456</v>
      </c>
      <c r="B81" s="64"/>
      <c r="C81" s="64"/>
      <c r="D81" s="123">
        <f>D62</f>
        <v>3.7</v>
      </c>
      <c r="E81" s="93">
        <f>E62</f>
        <v>9.5</v>
      </c>
      <c r="F81" s="93">
        <f>H62*36</f>
        <v>4320</v>
      </c>
      <c r="G81" s="25">
        <f>I62</f>
        <v>92</v>
      </c>
      <c r="H81" s="221">
        <f>J62</f>
        <v>0</v>
      </c>
      <c r="I81" s="25">
        <f>K62</f>
        <v>0</v>
      </c>
      <c r="J81" s="93">
        <f>G62</f>
        <v>4</v>
      </c>
      <c r="K81" s="123">
        <f>L62</f>
        <v>1.8200000000000003</v>
      </c>
      <c r="L81" s="127"/>
      <c r="P81" s="22"/>
      <c r="T81" s="4"/>
      <c r="U81" s="76"/>
    </row>
    <row r="82" spans="1:21" x14ac:dyDescent="0.25">
      <c r="P82" s="22"/>
      <c r="S82" s="40" t="s">
        <v>110</v>
      </c>
      <c r="T82" s="6" t="s">
        <v>235</v>
      </c>
      <c r="U82" s="76"/>
    </row>
    <row r="83" spans="1:21" x14ac:dyDescent="0.25">
      <c r="S83" s="4"/>
      <c r="T83" s="4"/>
      <c r="U83" s="4"/>
    </row>
    <row r="84" spans="1:21" ht="15.75" thickBot="1" x14ac:dyDescent="0.3">
      <c r="A84" s="7" t="s">
        <v>498</v>
      </c>
      <c r="R84" s="223" t="s">
        <v>460</v>
      </c>
      <c r="S84" s="185">
        <v>28.749579808906017</v>
      </c>
      <c r="T84" s="4"/>
      <c r="U84" s="4"/>
    </row>
    <row r="85" spans="1:21" ht="15.75" thickBot="1" x14ac:dyDescent="0.3">
      <c r="A85" s="20" t="s">
        <v>497</v>
      </c>
      <c r="B85" s="74"/>
      <c r="C85" s="75"/>
      <c r="I85" s="224"/>
      <c r="J85" s="224"/>
      <c r="K85" s="224"/>
      <c r="L85" s="224"/>
      <c r="O85" s="7" t="s">
        <v>459</v>
      </c>
      <c r="P85" s="7"/>
      <c r="Q85" s="7"/>
      <c r="R85" s="223" t="s">
        <v>461</v>
      </c>
      <c r="S85" s="185">
        <v>29.862704565609814</v>
      </c>
      <c r="T85" s="4"/>
      <c r="U85" s="4"/>
    </row>
    <row r="86" spans="1:21" x14ac:dyDescent="0.25">
      <c r="A86" s="19"/>
      <c r="B86" s="1"/>
      <c r="C86" s="2"/>
      <c r="I86" s="224"/>
      <c r="J86" s="224"/>
      <c r="K86" s="224"/>
      <c r="L86" s="224"/>
      <c r="O86" s="7"/>
      <c r="P86" s="7"/>
      <c r="Q86" s="7"/>
      <c r="R86" s="223"/>
      <c r="S86" s="185"/>
      <c r="T86" s="4"/>
      <c r="U86" s="4"/>
    </row>
    <row r="87" spans="1:21" x14ac:dyDescent="0.25">
      <c r="A87" s="3"/>
      <c r="B87" s="236" t="s">
        <v>463</v>
      </c>
      <c r="C87" s="237" t="s">
        <v>457</v>
      </c>
      <c r="O87" s="7" t="s">
        <v>462</v>
      </c>
      <c r="P87" s="7"/>
      <c r="Q87" s="7">
        <f>S85/S84</f>
        <v>1.0387179487179488</v>
      </c>
      <c r="S87" s="4"/>
      <c r="T87" s="4"/>
      <c r="U87" s="4"/>
    </row>
    <row r="88" spans="1:21" x14ac:dyDescent="0.25">
      <c r="A88" s="153" t="s">
        <v>7</v>
      </c>
      <c r="B88" s="233">
        <v>33.469244640861248</v>
      </c>
      <c r="C88" s="234">
        <f t="shared" ref="C88:C101" si="17">B88*$Q$87</f>
        <v>34.765105138494597</v>
      </c>
      <c r="G88" s="222"/>
      <c r="I88" s="98"/>
      <c r="J88" s="98"/>
      <c r="L88" s="98"/>
      <c r="M88" s="98"/>
      <c r="N88" s="98"/>
      <c r="S88" s="4"/>
      <c r="T88" s="4"/>
      <c r="U88" s="4"/>
    </row>
    <row r="89" spans="1:21" x14ac:dyDescent="0.25">
      <c r="A89" s="153" t="s">
        <v>15</v>
      </c>
      <c r="B89" s="233">
        <v>27.016462535362052</v>
      </c>
      <c r="C89" s="234">
        <f t="shared" si="17"/>
        <v>28.062484546346585</v>
      </c>
      <c r="G89" s="222"/>
      <c r="I89" s="98"/>
      <c r="J89" s="98"/>
      <c r="L89" s="98"/>
      <c r="M89" s="98"/>
      <c r="N89" s="98"/>
      <c r="S89" s="4"/>
      <c r="T89" s="4"/>
      <c r="U89" s="4"/>
    </row>
    <row r="90" spans="1:21" x14ac:dyDescent="0.25">
      <c r="A90" s="153" t="s">
        <v>8</v>
      </c>
      <c r="B90" s="233">
        <v>33.871112465205833</v>
      </c>
      <c r="C90" s="234">
        <f t="shared" si="17"/>
        <v>35.182532460653547</v>
      </c>
      <c r="G90" s="222"/>
      <c r="I90" s="98"/>
      <c r="J90" s="98"/>
      <c r="L90" s="98"/>
      <c r="M90" s="98"/>
      <c r="N90" s="98"/>
      <c r="S90" s="4"/>
      <c r="T90" s="4"/>
      <c r="U90" s="4"/>
    </row>
    <row r="91" spans="1:21" x14ac:dyDescent="0.25">
      <c r="A91" s="153" t="s">
        <v>270</v>
      </c>
      <c r="B91" s="233">
        <v>18.843265630792722</v>
      </c>
      <c r="C91" s="234">
        <f t="shared" si="17"/>
        <v>19.572838223164442</v>
      </c>
      <c r="G91" s="222"/>
      <c r="I91" s="98"/>
      <c r="J91" s="98"/>
      <c r="L91" s="98"/>
      <c r="M91" s="98"/>
      <c r="N91" s="98"/>
      <c r="S91" s="4"/>
      <c r="T91" s="4"/>
      <c r="U91" s="4"/>
    </row>
    <row r="92" spans="1:21" x14ac:dyDescent="0.25">
      <c r="A92" s="153" t="s">
        <v>291</v>
      </c>
      <c r="B92" s="233">
        <v>25.572814716559549</v>
      </c>
      <c r="C92" s="234">
        <f t="shared" si="17"/>
        <v>26.562941645328905</v>
      </c>
      <c r="G92" s="222"/>
      <c r="I92" s="98"/>
      <c r="J92" s="98"/>
      <c r="L92" s="98"/>
      <c r="M92" s="98"/>
      <c r="N92" s="98"/>
      <c r="S92" s="4"/>
      <c r="T92" s="4"/>
      <c r="U92" s="4"/>
    </row>
    <row r="93" spans="1:21" x14ac:dyDescent="0.25">
      <c r="A93" s="153" t="s">
        <v>316</v>
      </c>
      <c r="B93" s="233">
        <v>23.074646377031719</v>
      </c>
      <c r="C93" s="234">
        <f t="shared" si="17"/>
        <v>23.968049352142437</v>
      </c>
      <c r="G93" s="222"/>
      <c r="I93" s="98"/>
      <c r="J93" s="98"/>
      <c r="L93" s="98"/>
      <c r="M93" s="98"/>
      <c r="N93" s="98"/>
      <c r="S93" s="4"/>
      <c r="T93" s="4"/>
      <c r="U93" s="4"/>
    </row>
    <row r="94" spans="1:21" x14ac:dyDescent="0.25">
      <c r="A94" s="153" t="s">
        <v>23</v>
      </c>
      <c r="B94" s="233">
        <v>23.05854492881884</v>
      </c>
      <c r="C94" s="234">
        <f t="shared" si="17"/>
        <v>23.951324488883365</v>
      </c>
      <c r="G94" s="222"/>
      <c r="I94" s="98"/>
      <c r="J94" s="98"/>
      <c r="L94" s="98"/>
      <c r="M94" s="98"/>
      <c r="N94" s="98"/>
      <c r="S94" s="4"/>
      <c r="T94" s="4"/>
      <c r="U94" s="4"/>
    </row>
    <row r="95" spans="1:21" x14ac:dyDescent="0.25">
      <c r="A95" s="153" t="s">
        <v>385</v>
      </c>
      <c r="B95" s="233">
        <v>23.534742731424849</v>
      </c>
      <c r="C95" s="234">
        <f t="shared" si="17"/>
        <v>24.445959693590275</v>
      </c>
      <c r="G95" s="222"/>
      <c r="I95" s="98"/>
      <c r="J95" s="98"/>
      <c r="L95" s="98"/>
      <c r="M95" s="98"/>
      <c r="N95" s="98"/>
      <c r="S95" s="4"/>
      <c r="T95" s="4"/>
      <c r="U95" s="4"/>
    </row>
    <row r="96" spans="1:21" x14ac:dyDescent="0.25">
      <c r="A96" s="153" t="s">
        <v>427</v>
      </c>
      <c r="B96" s="233">
        <v>27.10556699090791</v>
      </c>
      <c r="C96" s="234">
        <f t="shared" si="17"/>
        <v>28.155038943632807</v>
      </c>
      <c r="G96" s="222"/>
      <c r="I96" s="98"/>
      <c r="J96" s="98"/>
      <c r="L96" s="98"/>
      <c r="M96" s="98"/>
      <c r="N96" s="98"/>
      <c r="S96" s="4"/>
      <c r="T96" s="4"/>
      <c r="U96" s="4"/>
    </row>
    <row r="97" spans="1:21" x14ac:dyDescent="0.25">
      <c r="A97" s="104" t="s">
        <v>431</v>
      </c>
      <c r="B97" s="233">
        <v>27.435457933893467</v>
      </c>
      <c r="C97" s="234">
        <f t="shared" si="17"/>
        <v>28.497702587231394</v>
      </c>
      <c r="G97" s="222"/>
      <c r="I97" s="98"/>
      <c r="J97" s="98"/>
      <c r="L97" s="98"/>
      <c r="M97" s="98"/>
      <c r="N97" s="98"/>
      <c r="S97" s="4"/>
      <c r="T97" s="4"/>
      <c r="U97" s="4"/>
    </row>
    <row r="98" spans="1:21" x14ac:dyDescent="0.25">
      <c r="A98" s="153" t="s">
        <v>433</v>
      </c>
      <c r="B98" s="233">
        <v>25.40913699188858</v>
      </c>
      <c r="C98" s="234">
        <f t="shared" si="17"/>
        <v>26.392926654907857</v>
      </c>
      <c r="G98" s="222"/>
      <c r="I98" s="98"/>
      <c r="J98" s="98"/>
      <c r="L98" s="98"/>
      <c r="M98" s="98"/>
      <c r="N98" s="98"/>
      <c r="S98" s="4"/>
      <c r="T98" s="4"/>
      <c r="U98" s="4"/>
    </row>
    <row r="99" spans="1:21" x14ac:dyDescent="0.25">
      <c r="A99" s="104" t="s">
        <v>402</v>
      </c>
      <c r="B99" s="233">
        <v>27.435457933893467</v>
      </c>
      <c r="C99" s="234">
        <f t="shared" si="17"/>
        <v>28.497702587231394</v>
      </c>
      <c r="G99" s="222"/>
      <c r="I99" s="98"/>
      <c r="J99" s="98"/>
      <c r="L99" s="98"/>
      <c r="M99" s="98"/>
      <c r="N99" s="98"/>
      <c r="S99" s="4"/>
      <c r="T99" s="4"/>
      <c r="U99" s="4"/>
    </row>
    <row r="100" spans="1:21" x14ac:dyDescent="0.25">
      <c r="A100" s="153" t="s">
        <v>404</v>
      </c>
      <c r="B100" s="233">
        <v>28.021284749714596</v>
      </c>
      <c r="C100" s="234">
        <f t="shared" si="17"/>
        <v>29.106211415665086</v>
      </c>
      <c r="G100" s="222"/>
      <c r="I100" s="98"/>
      <c r="J100" s="98"/>
      <c r="L100" s="98"/>
      <c r="M100" s="98"/>
      <c r="N100" s="98"/>
      <c r="S100" s="4"/>
      <c r="T100" s="4"/>
      <c r="U100" s="4"/>
    </row>
    <row r="101" spans="1:21" x14ac:dyDescent="0.25">
      <c r="A101" s="104" t="s">
        <v>456</v>
      </c>
      <c r="B101" s="233">
        <v>23.086868497851732</v>
      </c>
      <c r="C101" s="234">
        <f t="shared" si="17"/>
        <v>23.980744688409583</v>
      </c>
      <c r="G101" s="222"/>
      <c r="I101" s="98"/>
      <c r="J101" s="98"/>
      <c r="L101" s="98"/>
      <c r="M101" s="98"/>
      <c r="N101" s="98"/>
      <c r="S101" s="4"/>
      <c r="T101" s="4"/>
      <c r="U101" s="4"/>
    </row>
    <row r="102" spans="1:21" ht="15.75" thickBot="1" x14ac:dyDescent="0.3">
      <c r="A102" s="21" t="s">
        <v>254</v>
      </c>
      <c r="B102" s="105">
        <v>29</v>
      </c>
      <c r="C102" s="235">
        <v>30</v>
      </c>
      <c r="G102" s="98"/>
      <c r="I102" s="98"/>
      <c r="J102" s="98"/>
      <c r="S102" s="4"/>
      <c r="T102" s="4"/>
      <c r="U102" s="4"/>
    </row>
    <row r="103" spans="1:21" x14ac:dyDescent="0.25">
      <c r="G103" s="98"/>
      <c r="I103" s="98"/>
      <c r="J103" s="98"/>
      <c r="S103" s="4"/>
      <c r="T103" s="4"/>
      <c r="U103" s="4"/>
    </row>
    <row r="104" spans="1:21" x14ac:dyDescent="0.25">
      <c r="G104" s="98"/>
      <c r="I104" s="98"/>
      <c r="J104" s="98"/>
      <c r="S104" s="4"/>
      <c r="T104" s="4"/>
      <c r="U104" s="4"/>
    </row>
    <row r="105" spans="1:21" x14ac:dyDescent="0.25">
      <c r="G105" s="98"/>
      <c r="I105" s="98"/>
      <c r="J105" s="98"/>
      <c r="S105" s="4"/>
      <c r="T105" s="4"/>
      <c r="U105" s="4"/>
    </row>
    <row r="106" spans="1:21" x14ac:dyDescent="0.25">
      <c r="G106" s="98"/>
      <c r="S106" s="4"/>
      <c r="T106" s="4"/>
      <c r="U106" s="4"/>
    </row>
    <row r="107" spans="1:21" x14ac:dyDescent="0.25">
      <c r="S107" s="4"/>
      <c r="T107" s="4"/>
      <c r="U107" s="4"/>
    </row>
    <row r="108" spans="1:21" x14ac:dyDescent="0.25">
      <c r="S108" s="4"/>
      <c r="T108" s="4"/>
      <c r="U108" s="4"/>
    </row>
    <row r="109" spans="1:21" x14ac:dyDescent="0.25">
      <c r="S109" s="4"/>
      <c r="T109" s="4"/>
      <c r="U109" s="4"/>
    </row>
    <row r="110" spans="1:21" x14ac:dyDescent="0.25">
      <c r="S110" s="4"/>
      <c r="T110" s="4"/>
      <c r="U110" s="4"/>
    </row>
    <row r="111" spans="1:21" x14ac:dyDescent="0.25">
      <c r="S111" s="4"/>
      <c r="T111" s="4"/>
      <c r="U111" s="4"/>
    </row>
    <row r="112" spans="1:21" x14ac:dyDescent="0.25">
      <c r="S112" s="4"/>
      <c r="T112" s="4"/>
      <c r="U112" s="4"/>
    </row>
    <row r="113" spans="19:21" x14ac:dyDescent="0.25">
      <c r="S113" s="4"/>
      <c r="T113" s="4"/>
      <c r="U113" s="4"/>
    </row>
    <row r="114" spans="19:21" x14ac:dyDescent="0.25">
      <c r="S114" s="4"/>
      <c r="T114" s="4"/>
      <c r="U114" s="4"/>
    </row>
    <row r="115" spans="19:21" x14ac:dyDescent="0.25">
      <c r="S115" s="4"/>
      <c r="T115" s="4"/>
      <c r="U115" s="4"/>
    </row>
    <row r="116" spans="19:21" x14ac:dyDescent="0.25">
      <c r="S116" s="4"/>
      <c r="T116" s="4"/>
      <c r="U116" s="4"/>
    </row>
    <row r="117" spans="19:21" x14ac:dyDescent="0.25">
      <c r="S117" s="4"/>
      <c r="T117" s="4"/>
      <c r="U117" s="4"/>
    </row>
    <row r="118" spans="19:21" x14ac:dyDescent="0.25">
      <c r="S118" s="4"/>
      <c r="T118" s="4"/>
      <c r="U118" s="4"/>
    </row>
    <row r="119" spans="19:21" x14ac:dyDescent="0.25">
      <c r="S119" s="4"/>
      <c r="T119" s="4"/>
      <c r="U119" s="4"/>
    </row>
    <row r="120" spans="19:21" x14ac:dyDescent="0.25">
      <c r="S120" s="4"/>
      <c r="T120" s="4"/>
      <c r="U120" s="4"/>
    </row>
    <row r="121" spans="19:21" x14ac:dyDescent="0.25">
      <c r="S121" s="4"/>
      <c r="T121" s="4"/>
      <c r="U121" s="4"/>
    </row>
    <row r="122" spans="19:21" x14ac:dyDescent="0.25">
      <c r="S122" s="4"/>
      <c r="T122" s="4"/>
      <c r="U122" s="4"/>
    </row>
    <row r="123" spans="19:21" x14ac:dyDescent="0.25">
      <c r="S123" s="4"/>
      <c r="T123" s="4"/>
      <c r="U123" s="4"/>
    </row>
    <row r="124" spans="19:21" x14ac:dyDescent="0.25">
      <c r="S124" s="4"/>
      <c r="T124" s="4"/>
      <c r="U124" s="4"/>
    </row>
    <row r="125" spans="19:21" x14ac:dyDescent="0.25">
      <c r="S125" s="4"/>
      <c r="T125" s="4"/>
      <c r="U125" s="4"/>
    </row>
    <row r="126" spans="19:21" x14ac:dyDescent="0.25">
      <c r="S126" s="4"/>
      <c r="T126" s="4"/>
      <c r="U126" s="4"/>
    </row>
    <row r="127" spans="19:21" x14ac:dyDescent="0.25">
      <c r="S127" s="4"/>
      <c r="T127" s="4"/>
      <c r="U127" s="4"/>
    </row>
    <row r="128" spans="19:21" x14ac:dyDescent="0.25">
      <c r="S128" s="4"/>
      <c r="T128" s="4"/>
      <c r="U128" s="4"/>
    </row>
    <row r="129" spans="19:21" x14ac:dyDescent="0.25">
      <c r="S129" s="4"/>
      <c r="T129" s="4"/>
      <c r="U129" s="4"/>
    </row>
    <row r="130" spans="19:21" x14ac:dyDescent="0.25">
      <c r="S130" s="4"/>
      <c r="T130" s="4"/>
      <c r="U130" s="4"/>
    </row>
    <row r="131" spans="19:21" x14ac:dyDescent="0.25">
      <c r="S131" s="4"/>
      <c r="T131" s="4"/>
      <c r="U131" s="4"/>
    </row>
    <row r="132" spans="19:21" x14ac:dyDescent="0.25">
      <c r="S132" s="4"/>
      <c r="T132" s="4"/>
      <c r="U132" s="4"/>
    </row>
    <row r="133" spans="19:21" x14ac:dyDescent="0.25">
      <c r="S133" s="4"/>
      <c r="T133" s="4"/>
      <c r="U133" s="4"/>
    </row>
    <row r="134" spans="19:21" x14ac:dyDescent="0.25">
      <c r="S134" s="4"/>
      <c r="T134" s="4"/>
      <c r="U134" s="4"/>
    </row>
    <row r="135" spans="19:21" x14ac:dyDescent="0.25">
      <c r="S135" s="4"/>
      <c r="T135" s="4"/>
      <c r="U135" s="4"/>
    </row>
    <row r="136" spans="19:21" x14ac:dyDescent="0.25">
      <c r="S136" s="4"/>
      <c r="T136" s="4"/>
      <c r="U136" s="4"/>
    </row>
    <row r="137" spans="19:21" x14ac:dyDescent="0.25">
      <c r="S137" s="4"/>
      <c r="T137" s="4"/>
      <c r="U137" s="4"/>
    </row>
    <row r="138" spans="19:21" x14ac:dyDescent="0.25">
      <c r="S138" s="4"/>
      <c r="T138" s="4"/>
      <c r="U138" s="4"/>
    </row>
    <row r="139" spans="19:21" x14ac:dyDescent="0.25">
      <c r="S139" s="4"/>
      <c r="T139" s="4"/>
      <c r="U139" s="4"/>
    </row>
    <row r="140" spans="19:21" x14ac:dyDescent="0.25">
      <c r="S140" s="4"/>
      <c r="T140" s="4"/>
      <c r="U140" s="4"/>
    </row>
    <row r="141" spans="19:21" x14ac:dyDescent="0.25">
      <c r="S141" s="4"/>
      <c r="T141" s="4"/>
      <c r="U141" s="4"/>
    </row>
    <row r="142" spans="19:21" x14ac:dyDescent="0.25">
      <c r="S142" s="4"/>
      <c r="T142" s="4"/>
      <c r="U142" s="4"/>
    </row>
    <row r="143" spans="19:21" x14ac:dyDescent="0.25">
      <c r="S143" s="4"/>
      <c r="T143" s="4"/>
      <c r="U143" s="4"/>
    </row>
    <row r="144" spans="19:21" x14ac:dyDescent="0.25">
      <c r="S144" s="4"/>
      <c r="T144" s="4"/>
      <c r="U144" s="4"/>
    </row>
    <row r="145" spans="19:21" x14ac:dyDescent="0.25">
      <c r="S145" s="4"/>
      <c r="T145" s="4"/>
      <c r="U145" s="4"/>
    </row>
    <row r="146" spans="19:21" x14ac:dyDescent="0.25">
      <c r="S146" s="4"/>
      <c r="T146" s="4"/>
      <c r="U146" s="4"/>
    </row>
    <row r="147" spans="19:21" x14ac:dyDescent="0.25">
      <c r="S147" s="4"/>
      <c r="T147" s="4"/>
      <c r="U147" s="4"/>
    </row>
    <row r="148" spans="19:21" x14ac:dyDescent="0.25">
      <c r="S148" s="4"/>
      <c r="T148" s="4"/>
      <c r="U148" s="4"/>
    </row>
    <row r="149" spans="19:21" x14ac:dyDescent="0.25">
      <c r="S149" s="4"/>
      <c r="T149" s="4"/>
      <c r="U149" s="4"/>
    </row>
    <row r="150" spans="19:21" x14ac:dyDescent="0.25">
      <c r="S150" s="4"/>
      <c r="T150" s="4"/>
      <c r="U150" s="4"/>
    </row>
    <row r="151" spans="19:21" x14ac:dyDescent="0.25">
      <c r="S151" s="4"/>
      <c r="T151" s="4"/>
      <c r="U151" s="4"/>
    </row>
    <row r="152" spans="19:21" x14ac:dyDescent="0.25">
      <c r="S152" s="4"/>
      <c r="T152" s="4"/>
      <c r="U152" s="4"/>
    </row>
    <row r="153" spans="19:21" x14ac:dyDescent="0.25">
      <c r="S153" s="4"/>
      <c r="T153" s="4"/>
      <c r="U153" s="4"/>
    </row>
    <row r="154" spans="19:21" x14ac:dyDescent="0.25">
      <c r="S154" s="4"/>
      <c r="T154" s="4"/>
      <c r="U154" s="4"/>
    </row>
    <row r="155" spans="19:21" x14ac:dyDescent="0.25">
      <c r="S155" s="4"/>
      <c r="T155" s="4"/>
      <c r="U155" s="4"/>
    </row>
    <row r="156" spans="19:21" x14ac:dyDescent="0.25">
      <c r="S156" s="4"/>
      <c r="T156" s="4"/>
      <c r="U156" s="4"/>
    </row>
    <row r="157" spans="19:21" x14ac:dyDescent="0.25">
      <c r="S157" s="4"/>
      <c r="T157" s="4"/>
      <c r="U157" s="4"/>
    </row>
    <row r="158" spans="19:21" x14ac:dyDescent="0.25">
      <c r="S158" s="4"/>
      <c r="T158" s="4"/>
      <c r="U158" s="4"/>
    </row>
    <row r="159" spans="19:21" x14ac:dyDescent="0.25">
      <c r="S159" s="4"/>
      <c r="T159" s="4"/>
      <c r="U159" s="4"/>
    </row>
    <row r="160" spans="19:21" x14ac:dyDescent="0.25">
      <c r="S160" s="4"/>
      <c r="T160" s="4"/>
      <c r="U160" s="4"/>
    </row>
    <row r="161" spans="19:21" x14ac:dyDescent="0.25">
      <c r="S161" s="4"/>
      <c r="T161" s="4"/>
      <c r="U161" s="4"/>
    </row>
    <row r="162" spans="19:21" x14ac:dyDescent="0.25">
      <c r="S162" s="4"/>
      <c r="T162" s="4"/>
      <c r="U162" s="4"/>
    </row>
    <row r="163" spans="19:21" x14ac:dyDescent="0.25">
      <c r="S163" s="4"/>
      <c r="T163" s="4"/>
      <c r="U163" s="4"/>
    </row>
    <row r="164" spans="19:21" x14ac:dyDescent="0.25">
      <c r="S164" s="4"/>
      <c r="T164" s="4"/>
      <c r="U164" s="4"/>
    </row>
    <row r="165" spans="19:21" x14ac:dyDescent="0.25">
      <c r="S165" s="4"/>
      <c r="T165" s="4"/>
      <c r="U165" s="4"/>
    </row>
    <row r="166" spans="19:21" x14ac:dyDescent="0.25">
      <c r="S166" s="4"/>
      <c r="T166" s="4"/>
      <c r="U166" s="4"/>
    </row>
    <row r="167" spans="19:21" x14ac:dyDescent="0.25">
      <c r="S167" s="4"/>
      <c r="T167" s="4"/>
      <c r="U167" s="4"/>
    </row>
    <row r="168" spans="19:21" x14ac:dyDescent="0.25">
      <c r="S168" s="4"/>
      <c r="T168" s="4"/>
      <c r="U168" s="4"/>
    </row>
    <row r="169" spans="19:21" x14ac:dyDescent="0.25">
      <c r="S169" s="4"/>
      <c r="T169" s="4"/>
      <c r="U169" s="4"/>
    </row>
    <row r="170" spans="19:21" x14ac:dyDescent="0.25">
      <c r="S170" s="4"/>
      <c r="T170" s="4"/>
      <c r="U170" s="4"/>
    </row>
    <row r="171" spans="19:21" x14ac:dyDescent="0.25">
      <c r="S171" s="4"/>
      <c r="T171" s="4"/>
      <c r="U171" s="4"/>
    </row>
    <row r="172" spans="19:21" x14ac:dyDescent="0.25">
      <c r="S172" s="4"/>
      <c r="T172" s="4"/>
      <c r="U172" s="4"/>
    </row>
    <row r="173" spans="19:21" x14ac:dyDescent="0.25">
      <c r="S173" s="4"/>
      <c r="T173" s="4"/>
      <c r="U173" s="4"/>
    </row>
    <row r="174" spans="19:21" x14ac:dyDescent="0.25">
      <c r="S174" s="4"/>
      <c r="T174" s="4"/>
      <c r="U174" s="4"/>
    </row>
    <row r="175" spans="19:21" x14ac:dyDescent="0.25">
      <c r="S175" s="4"/>
      <c r="T175" s="4"/>
      <c r="U175" s="4"/>
    </row>
    <row r="176" spans="19:21" x14ac:dyDescent="0.25">
      <c r="S176" s="4"/>
      <c r="T176" s="4"/>
      <c r="U176" s="4"/>
    </row>
    <row r="177" spans="19:21" x14ac:dyDescent="0.25">
      <c r="S177" s="4"/>
      <c r="T177" s="4"/>
      <c r="U177" s="4"/>
    </row>
    <row r="178" spans="19:21" x14ac:dyDescent="0.25">
      <c r="S178" s="4"/>
      <c r="T178" s="4"/>
      <c r="U178" s="4"/>
    </row>
    <row r="179" spans="19:21" x14ac:dyDescent="0.25">
      <c r="S179" s="4"/>
      <c r="T179" s="4"/>
      <c r="U179" s="4"/>
    </row>
    <row r="180" spans="19:21" x14ac:dyDescent="0.25">
      <c r="S180" s="4"/>
      <c r="T180" s="4"/>
      <c r="U180" s="4"/>
    </row>
    <row r="181" spans="19:21" x14ac:dyDescent="0.25">
      <c r="S181" s="4"/>
      <c r="T181" s="4"/>
      <c r="U181" s="4"/>
    </row>
    <row r="182" spans="19:21" x14ac:dyDescent="0.25">
      <c r="S182" s="4"/>
      <c r="T182" s="4"/>
      <c r="U182" s="4"/>
    </row>
    <row r="183" spans="19:21" x14ac:dyDescent="0.25">
      <c r="S183" s="4"/>
      <c r="T183" s="4"/>
      <c r="U183" s="4"/>
    </row>
    <row r="184" spans="19:21" x14ac:dyDescent="0.25">
      <c r="S184" s="4"/>
      <c r="T184" s="4"/>
      <c r="U184" s="4"/>
    </row>
    <row r="185" spans="19:21" x14ac:dyDescent="0.25">
      <c r="S185" s="4"/>
      <c r="T185" s="4"/>
      <c r="U185" s="4"/>
    </row>
    <row r="186" spans="19:21" x14ac:dyDescent="0.25">
      <c r="S186" s="4"/>
      <c r="T186" s="4"/>
      <c r="U186" s="4"/>
    </row>
    <row r="187" spans="19:21" x14ac:dyDescent="0.25">
      <c r="S187" s="4"/>
      <c r="T187" s="4"/>
      <c r="U187" s="4"/>
    </row>
    <row r="188" spans="19:21" x14ac:dyDescent="0.25">
      <c r="S188" s="4"/>
      <c r="T188" s="4"/>
      <c r="U188" s="4"/>
    </row>
    <row r="189" spans="19:21" x14ac:dyDescent="0.25">
      <c r="S189" s="4"/>
      <c r="T189" s="4"/>
      <c r="U189" s="4"/>
    </row>
    <row r="190" spans="19:21" x14ac:dyDescent="0.25">
      <c r="S190" s="4"/>
      <c r="T190" s="4"/>
      <c r="U190" s="4"/>
    </row>
    <row r="191" spans="19:21" x14ac:dyDescent="0.25">
      <c r="S191" s="4"/>
      <c r="T191" s="4"/>
      <c r="U191" s="4"/>
    </row>
    <row r="192" spans="19:21" x14ac:dyDescent="0.25">
      <c r="S192" s="4"/>
      <c r="T192" s="4"/>
      <c r="U192" s="4"/>
    </row>
    <row r="193" spans="19:21" x14ac:dyDescent="0.25">
      <c r="S193" s="4"/>
      <c r="T193" s="4"/>
      <c r="U193" s="4"/>
    </row>
    <row r="194" spans="19:21" x14ac:dyDescent="0.25">
      <c r="S194" s="4"/>
      <c r="T194" s="4"/>
      <c r="U194" s="4"/>
    </row>
    <row r="195" spans="19:21" x14ac:dyDescent="0.25">
      <c r="S195" s="4"/>
      <c r="T195" s="4"/>
      <c r="U195" s="4"/>
    </row>
    <row r="196" spans="19:21" x14ac:dyDescent="0.25">
      <c r="S196" s="4"/>
      <c r="T196" s="4"/>
      <c r="U196" s="4"/>
    </row>
    <row r="197" spans="19:21" x14ac:dyDescent="0.25">
      <c r="S197" s="4"/>
      <c r="T197" s="4"/>
      <c r="U197" s="4"/>
    </row>
    <row r="198" spans="19:21" x14ac:dyDescent="0.25">
      <c r="S198" s="4"/>
      <c r="T198" s="4"/>
      <c r="U198" s="4"/>
    </row>
    <row r="199" spans="19:21" x14ac:dyDescent="0.25">
      <c r="S199" s="4"/>
      <c r="T199" s="4"/>
      <c r="U199" s="4"/>
    </row>
    <row r="200" spans="19:21" x14ac:dyDescent="0.25">
      <c r="S200" s="4"/>
      <c r="T200" s="4"/>
      <c r="U200" s="4"/>
    </row>
    <row r="201" spans="19:21" x14ac:dyDescent="0.25">
      <c r="S201" s="4"/>
      <c r="T201" s="4"/>
      <c r="U201" s="4"/>
    </row>
    <row r="202" spans="19:21" x14ac:dyDescent="0.25">
      <c r="S202" s="4"/>
      <c r="T202" s="4"/>
      <c r="U202" s="4"/>
    </row>
    <row r="203" spans="19:21" x14ac:dyDescent="0.25">
      <c r="S203" s="4"/>
      <c r="T203" s="4"/>
      <c r="U203" s="4"/>
    </row>
    <row r="204" spans="19:21" x14ac:dyDescent="0.25">
      <c r="S204" s="4"/>
      <c r="T204" s="4"/>
      <c r="U204" s="4"/>
    </row>
    <row r="205" spans="19:21" x14ac:dyDescent="0.25">
      <c r="S205" s="4"/>
      <c r="T205" s="4"/>
      <c r="U205" s="4"/>
    </row>
    <row r="206" spans="19:21" x14ac:dyDescent="0.25">
      <c r="S206" s="4"/>
      <c r="T206" s="4"/>
      <c r="U206" s="4"/>
    </row>
    <row r="207" spans="19:21" x14ac:dyDescent="0.25">
      <c r="S207" s="4"/>
      <c r="T207" s="4"/>
      <c r="U207" s="4"/>
    </row>
    <row r="208" spans="19:21" x14ac:dyDescent="0.25">
      <c r="S208" s="4"/>
      <c r="T208" s="4"/>
      <c r="U208" s="4"/>
    </row>
    <row r="209" spans="19:21" x14ac:dyDescent="0.25">
      <c r="S209" s="4"/>
      <c r="T209" s="4"/>
      <c r="U209" s="4"/>
    </row>
    <row r="210" spans="19:21" x14ac:dyDescent="0.25">
      <c r="S210" s="4"/>
      <c r="T210" s="4"/>
      <c r="U210" s="4"/>
    </row>
    <row r="211" spans="19:21" x14ac:dyDescent="0.25">
      <c r="S211" s="4"/>
      <c r="T211" s="4"/>
      <c r="U211" s="4"/>
    </row>
    <row r="212" spans="19:21" x14ac:dyDescent="0.25">
      <c r="S212" s="4"/>
      <c r="T212" s="4"/>
      <c r="U212" s="4"/>
    </row>
    <row r="213" spans="19:21" x14ac:dyDescent="0.25">
      <c r="S213" s="4"/>
      <c r="T213" s="4"/>
      <c r="U213" s="4"/>
    </row>
    <row r="214" spans="19:21" x14ac:dyDescent="0.25">
      <c r="S214" s="4"/>
      <c r="T214" s="4"/>
      <c r="U214" s="4"/>
    </row>
    <row r="215" spans="19:21" x14ac:dyDescent="0.25">
      <c r="S215" s="4"/>
      <c r="T215" s="4"/>
      <c r="U215" s="4"/>
    </row>
    <row r="216" spans="19:21" x14ac:dyDescent="0.25">
      <c r="S216" s="4"/>
      <c r="T216" s="4"/>
      <c r="U216" s="4"/>
    </row>
    <row r="217" spans="19:21" x14ac:dyDescent="0.25">
      <c r="S217" s="4"/>
      <c r="T217" s="4"/>
      <c r="U217" s="4"/>
    </row>
    <row r="218" spans="19:21" x14ac:dyDescent="0.25">
      <c r="S218" s="4"/>
      <c r="T218" s="4"/>
      <c r="U218" s="4"/>
    </row>
    <row r="219" spans="19:21" x14ac:dyDescent="0.25">
      <c r="S219" s="4"/>
      <c r="T219" s="4"/>
      <c r="U219" s="4"/>
    </row>
    <row r="220" spans="19:21" x14ac:dyDescent="0.25">
      <c r="S220" s="4"/>
      <c r="T220" s="4"/>
      <c r="U220" s="4"/>
    </row>
    <row r="221" spans="19:21" x14ac:dyDescent="0.25">
      <c r="S221" s="4"/>
      <c r="T221" s="4"/>
      <c r="U221" s="4"/>
    </row>
    <row r="222" spans="19:21" x14ac:dyDescent="0.25">
      <c r="S222" s="4"/>
      <c r="T222" s="4"/>
      <c r="U222" s="4"/>
    </row>
    <row r="223" spans="19:21" x14ac:dyDescent="0.25">
      <c r="S223" s="4"/>
      <c r="T223" s="4"/>
      <c r="U223" s="4"/>
    </row>
    <row r="224" spans="19:21" x14ac:dyDescent="0.25">
      <c r="S224" s="4"/>
      <c r="T224" s="4"/>
      <c r="U224" s="4"/>
    </row>
    <row r="225" spans="19:21" x14ac:dyDescent="0.25">
      <c r="S225" s="4"/>
      <c r="T225" s="4"/>
      <c r="U225" s="4"/>
    </row>
    <row r="226" spans="19:21" x14ac:dyDescent="0.25">
      <c r="S226" s="4"/>
      <c r="T226" s="4"/>
      <c r="U226" s="4"/>
    </row>
    <row r="227" spans="19:21" x14ac:dyDescent="0.25">
      <c r="S227" s="4"/>
      <c r="T227" s="4"/>
      <c r="U227" s="4"/>
    </row>
    <row r="228" spans="19:21" x14ac:dyDescent="0.25">
      <c r="S228" s="4"/>
      <c r="T228" s="4"/>
      <c r="U228" s="4"/>
    </row>
    <row r="229" spans="19:21" x14ac:dyDescent="0.25">
      <c r="S229" s="4"/>
      <c r="T229" s="4"/>
      <c r="U229" s="4"/>
    </row>
    <row r="230" spans="19:21" x14ac:dyDescent="0.25">
      <c r="S230" s="4"/>
      <c r="T230" s="4"/>
      <c r="U230" s="4"/>
    </row>
    <row r="231" spans="19:21" x14ac:dyDescent="0.25">
      <c r="S231" s="4"/>
      <c r="T231" s="4"/>
      <c r="U231" s="4"/>
    </row>
    <row r="232" spans="19:21" x14ac:dyDescent="0.25">
      <c r="S232" s="4"/>
      <c r="T232" s="4"/>
      <c r="U232" s="4"/>
    </row>
    <row r="233" spans="19:21" x14ac:dyDescent="0.25">
      <c r="S233" s="4"/>
      <c r="T233" s="4"/>
      <c r="U233" s="4"/>
    </row>
    <row r="234" spans="19:21" x14ac:dyDescent="0.25">
      <c r="S234" s="4"/>
      <c r="T234" s="4"/>
      <c r="U234" s="4"/>
    </row>
    <row r="235" spans="19:21" x14ac:dyDescent="0.25">
      <c r="S235" s="4"/>
      <c r="T235" s="4"/>
      <c r="U235" s="4"/>
    </row>
    <row r="236" spans="19:21" x14ac:dyDescent="0.25">
      <c r="S236" s="4"/>
      <c r="T236" s="4"/>
      <c r="U236" s="4"/>
    </row>
    <row r="237" spans="19:21" x14ac:dyDescent="0.25">
      <c r="S237" s="4"/>
      <c r="T237" s="4"/>
      <c r="U237" s="4"/>
    </row>
    <row r="238" spans="19:21" x14ac:dyDescent="0.25">
      <c r="S238" s="4"/>
      <c r="T238" s="4"/>
      <c r="U238" s="4"/>
    </row>
    <row r="239" spans="19:21" x14ac:dyDescent="0.25">
      <c r="S239" s="4"/>
      <c r="T239" s="4"/>
      <c r="U239" s="4"/>
    </row>
    <row r="240" spans="19:21" x14ac:dyDescent="0.25">
      <c r="S240" s="4"/>
      <c r="T240" s="4"/>
      <c r="U240" s="4"/>
    </row>
    <row r="241" spans="19:21" x14ac:dyDescent="0.25">
      <c r="S241" s="4"/>
      <c r="T241" s="4"/>
      <c r="U241" s="4"/>
    </row>
    <row r="242" spans="19:21" x14ac:dyDescent="0.25">
      <c r="S242" s="4"/>
      <c r="T242" s="4"/>
      <c r="U242" s="4"/>
    </row>
    <row r="243" spans="19:21" x14ac:dyDescent="0.25">
      <c r="S243" s="4"/>
      <c r="T243" s="4"/>
      <c r="U243" s="4"/>
    </row>
    <row r="244" spans="19:21" x14ac:dyDescent="0.25">
      <c r="S244" s="4"/>
      <c r="T244" s="4"/>
      <c r="U244" s="4"/>
    </row>
    <row r="245" spans="19:21" x14ac:dyDescent="0.25">
      <c r="S245" s="4"/>
      <c r="T245" s="4"/>
      <c r="U245" s="4"/>
    </row>
    <row r="246" spans="19:21" x14ac:dyDescent="0.25">
      <c r="S246" s="4"/>
      <c r="T246" s="4"/>
      <c r="U246" s="4"/>
    </row>
    <row r="247" spans="19:21" x14ac:dyDescent="0.25">
      <c r="S247" s="4"/>
      <c r="T247" s="4"/>
      <c r="U247" s="4"/>
    </row>
    <row r="248" spans="19:21" x14ac:dyDescent="0.25">
      <c r="S248" s="4"/>
      <c r="T248" s="4"/>
      <c r="U248" s="4"/>
    </row>
    <row r="249" spans="19:21" x14ac:dyDescent="0.25">
      <c r="S249" s="4"/>
      <c r="T249" s="4"/>
      <c r="U249" s="4"/>
    </row>
    <row r="250" spans="19:21" x14ac:dyDescent="0.25">
      <c r="S250" s="4"/>
      <c r="T250" s="4"/>
      <c r="U250" s="4"/>
    </row>
    <row r="251" spans="19:21" x14ac:dyDescent="0.25">
      <c r="S251" s="4"/>
      <c r="T251" s="4"/>
      <c r="U251" s="4"/>
    </row>
    <row r="252" spans="19:21" x14ac:dyDescent="0.25">
      <c r="S252" s="4"/>
      <c r="T252" s="4"/>
      <c r="U252" s="4"/>
    </row>
    <row r="253" spans="19:21" x14ac:dyDescent="0.25">
      <c r="S253" s="4"/>
      <c r="T253" s="4"/>
      <c r="U253" s="4"/>
    </row>
    <row r="254" spans="19:21" x14ac:dyDescent="0.25">
      <c r="S254" s="4"/>
      <c r="T254" s="4"/>
      <c r="U254" s="4"/>
    </row>
    <row r="255" spans="19:21" x14ac:dyDescent="0.25">
      <c r="S255" s="4"/>
      <c r="T255" s="4"/>
      <c r="U255" s="4"/>
    </row>
    <row r="256" spans="19:21" x14ac:dyDescent="0.25">
      <c r="S256" s="4"/>
      <c r="T256" s="4"/>
      <c r="U256" s="4"/>
    </row>
    <row r="257" spans="19:21" x14ac:dyDescent="0.25">
      <c r="S257" s="4"/>
      <c r="T257" s="4"/>
      <c r="U257" s="4"/>
    </row>
    <row r="258" spans="19:21" x14ac:dyDescent="0.25">
      <c r="S258" s="4"/>
      <c r="T258" s="4"/>
      <c r="U258" s="4"/>
    </row>
    <row r="259" spans="19:21" x14ac:dyDescent="0.25">
      <c r="S259" s="4"/>
      <c r="T259" s="4"/>
      <c r="U259" s="4"/>
    </row>
    <row r="260" spans="19:21" x14ac:dyDescent="0.25">
      <c r="S260" s="4"/>
      <c r="T260" s="4"/>
      <c r="U260" s="4"/>
    </row>
    <row r="261" spans="19:21" x14ac:dyDescent="0.25">
      <c r="S261" s="4"/>
      <c r="T261" s="4"/>
      <c r="U261" s="4"/>
    </row>
    <row r="262" spans="19:21" x14ac:dyDescent="0.25">
      <c r="S262" s="4"/>
      <c r="T262" s="4"/>
      <c r="U262" s="4"/>
    </row>
    <row r="263" spans="19:21" x14ac:dyDescent="0.25">
      <c r="S263" s="4"/>
      <c r="T263" s="4"/>
      <c r="U263" s="4"/>
    </row>
    <row r="264" spans="19:21" x14ac:dyDescent="0.25">
      <c r="S264" s="4"/>
      <c r="T264" s="4"/>
      <c r="U264" s="4"/>
    </row>
    <row r="265" spans="19:21" x14ac:dyDescent="0.25">
      <c r="S265" s="4"/>
      <c r="T265" s="4"/>
      <c r="U265" s="4"/>
    </row>
    <row r="266" spans="19:21" x14ac:dyDescent="0.25">
      <c r="S266" s="4"/>
      <c r="T266" s="4"/>
      <c r="U266" s="4"/>
    </row>
    <row r="267" spans="19:21" x14ac:dyDescent="0.25">
      <c r="S267" s="4"/>
      <c r="T267" s="4"/>
      <c r="U267" s="4"/>
    </row>
    <row r="268" spans="19:21" x14ac:dyDescent="0.25">
      <c r="S268" s="4"/>
      <c r="T268" s="4"/>
      <c r="U268" s="4"/>
    </row>
    <row r="269" spans="19:21" x14ac:dyDescent="0.25">
      <c r="S269" s="4"/>
      <c r="T269" s="4"/>
      <c r="U269" s="4"/>
    </row>
    <row r="270" spans="19:21" x14ac:dyDescent="0.25">
      <c r="S270" s="4"/>
      <c r="T270" s="4"/>
      <c r="U270" s="4"/>
    </row>
    <row r="271" spans="19:21" x14ac:dyDescent="0.25">
      <c r="S271" s="4"/>
      <c r="T271" s="4"/>
      <c r="U271" s="4"/>
    </row>
    <row r="272" spans="19:21" x14ac:dyDescent="0.25">
      <c r="S272" s="4"/>
      <c r="T272" s="4"/>
      <c r="U272" s="4"/>
    </row>
    <row r="273" spans="19:21" x14ac:dyDescent="0.25">
      <c r="S273" s="4"/>
      <c r="T273" s="4"/>
      <c r="U273" s="4"/>
    </row>
    <row r="274" spans="19:21" x14ac:dyDescent="0.25">
      <c r="S274" s="4"/>
      <c r="T274" s="4"/>
      <c r="U274" s="4"/>
    </row>
    <row r="275" spans="19:21" x14ac:dyDescent="0.25">
      <c r="S275" s="4"/>
      <c r="T275" s="4"/>
      <c r="U275" s="4"/>
    </row>
    <row r="276" spans="19:21" x14ac:dyDescent="0.25">
      <c r="S276" s="4"/>
      <c r="T276" s="4"/>
      <c r="U276" s="4"/>
    </row>
    <row r="277" spans="19:21" x14ac:dyDescent="0.25">
      <c r="S277" s="4"/>
      <c r="T277" s="4"/>
      <c r="U277" s="4"/>
    </row>
    <row r="278" spans="19:21" x14ac:dyDescent="0.25">
      <c r="S278" s="4"/>
      <c r="T278" s="4"/>
      <c r="U278" s="4"/>
    </row>
    <row r="279" spans="19:21" x14ac:dyDescent="0.25">
      <c r="S279" s="4"/>
      <c r="T279" s="4"/>
      <c r="U279" s="4"/>
    </row>
    <row r="280" spans="19:21" x14ac:dyDescent="0.25">
      <c r="S280" s="4"/>
      <c r="T280" s="4"/>
      <c r="U280" s="4"/>
    </row>
    <row r="281" spans="19:21" x14ac:dyDescent="0.25">
      <c r="S281" s="4"/>
      <c r="T281" s="4"/>
      <c r="U281" s="4"/>
    </row>
    <row r="282" spans="19:21" x14ac:dyDescent="0.25">
      <c r="S282" s="4"/>
      <c r="T282" s="4"/>
      <c r="U282" s="4"/>
    </row>
    <row r="283" spans="19:21" x14ac:dyDescent="0.25">
      <c r="S283" s="4"/>
      <c r="T283" s="4"/>
      <c r="U283" s="4"/>
    </row>
    <row r="284" spans="19:21" x14ac:dyDescent="0.25">
      <c r="S284" s="4"/>
      <c r="T284" s="4"/>
      <c r="U284" s="4"/>
    </row>
    <row r="285" spans="19:21" x14ac:dyDescent="0.25">
      <c r="S285" s="4"/>
      <c r="T285" s="4"/>
      <c r="U285" s="4"/>
    </row>
    <row r="286" spans="19:21" x14ac:dyDescent="0.25">
      <c r="S286" s="4"/>
      <c r="T286" s="4"/>
      <c r="U286" s="4"/>
    </row>
    <row r="287" spans="19:21" x14ac:dyDescent="0.25">
      <c r="S287" s="4"/>
      <c r="T287" s="4"/>
      <c r="U287" s="4"/>
    </row>
    <row r="288" spans="19:21" x14ac:dyDescent="0.25">
      <c r="S288" s="4"/>
      <c r="T288" s="4"/>
      <c r="U288" s="4"/>
    </row>
    <row r="289" spans="19:21" x14ac:dyDescent="0.25">
      <c r="S289" s="4"/>
      <c r="T289" s="4"/>
      <c r="U289" s="4"/>
    </row>
    <row r="290" spans="19:21" x14ac:dyDescent="0.25">
      <c r="S290" s="4"/>
      <c r="T290" s="4"/>
      <c r="U290" s="4"/>
    </row>
    <row r="291" spans="19:21" x14ac:dyDescent="0.25">
      <c r="S291" s="4"/>
      <c r="T291" s="4"/>
      <c r="U291" s="4"/>
    </row>
    <row r="292" spans="19:21" x14ac:dyDescent="0.25">
      <c r="S292" s="4"/>
      <c r="T292" s="4"/>
      <c r="U292" s="4"/>
    </row>
    <row r="293" spans="19:21" x14ac:dyDescent="0.25">
      <c r="S293" s="4"/>
      <c r="T293" s="4"/>
      <c r="U293" s="4"/>
    </row>
    <row r="294" spans="19:21" x14ac:dyDescent="0.25">
      <c r="S294" s="4"/>
      <c r="T294" s="4"/>
      <c r="U294" s="4"/>
    </row>
    <row r="295" spans="19:21" x14ac:dyDescent="0.25">
      <c r="S295" s="4"/>
      <c r="T295" s="4"/>
      <c r="U295" s="4"/>
    </row>
    <row r="296" spans="19:21" x14ac:dyDescent="0.25">
      <c r="S296" s="4"/>
      <c r="T296" s="4"/>
      <c r="U296" s="4"/>
    </row>
    <row r="297" spans="19:21" x14ac:dyDescent="0.25">
      <c r="S297" s="4"/>
      <c r="T297" s="4"/>
      <c r="U297" s="4"/>
    </row>
    <row r="298" spans="19:21" x14ac:dyDescent="0.25">
      <c r="S298" s="4"/>
      <c r="T298" s="4"/>
      <c r="U298" s="4"/>
    </row>
    <row r="299" spans="19:21" x14ac:dyDescent="0.25">
      <c r="S299" s="4"/>
      <c r="T299" s="4"/>
      <c r="U299" s="4"/>
    </row>
    <row r="300" spans="19:21" x14ac:dyDescent="0.25">
      <c r="S300" s="4"/>
      <c r="T300" s="4"/>
      <c r="U300" s="4"/>
    </row>
    <row r="301" spans="19:21" x14ac:dyDescent="0.25">
      <c r="S301" s="4"/>
      <c r="T301" s="4"/>
      <c r="U301" s="4"/>
    </row>
    <row r="302" spans="19:21" x14ac:dyDescent="0.25">
      <c r="S302" s="4"/>
      <c r="T302" s="4"/>
      <c r="U302" s="4"/>
    </row>
    <row r="303" spans="19:21" x14ac:dyDescent="0.25">
      <c r="S303" s="4"/>
      <c r="T303" s="4"/>
      <c r="U303" s="4"/>
    </row>
    <row r="304" spans="19:21" x14ac:dyDescent="0.25">
      <c r="S304" s="4"/>
      <c r="T304" s="4"/>
      <c r="U304" s="4"/>
    </row>
    <row r="305" spans="19:21" x14ac:dyDescent="0.25">
      <c r="S305" s="4"/>
      <c r="T305" s="4"/>
      <c r="U305" s="4"/>
    </row>
    <row r="306" spans="19:21" x14ac:dyDescent="0.25">
      <c r="S306" s="4"/>
      <c r="T306" s="4"/>
      <c r="U306" s="4"/>
    </row>
    <row r="307" spans="19:21" x14ac:dyDescent="0.25">
      <c r="S307" s="4"/>
      <c r="T307" s="4"/>
      <c r="U307" s="4"/>
    </row>
    <row r="308" spans="19:21" x14ac:dyDescent="0.25">
      <c r="S308" s="4"/>
      <c r="T308" s="4"/>
      <c r="U308" s="4"/>
    </row>
    <row r="309" spans="19:21" x14ac:dyDescent="0.25">
      <c r="S309" s="4"/>
      <c r="T309" s="4"/>
      <c r="U309" s="4"/>
    </row>
    <row r="310" spans="19:21" x14ac:dyDescent="0.25">
      <c r="S310" s="4"/>
      <c r="T310" s="4"/>
      <c r="U310" s="4"/>
    </row>
    <row r="311" spans="19:21" x14ac:dyDescent="0.25">
      <c r="S311" s="4"/>
      <c r="T311" s="4"/>
      <c r="U311" s="4"/>
    </row>
    <row r="312" spans="19:21" x14ac:dyDescent="0.25">
      <c r="S312" s="4"/>
      <c r="T312" s="4"/>
      <c r="U312" s="4"/>
    </row>
    <row r="313" spans="19:21" x14ac:dyDescent="0.25">
      <c r="S313" s="4"/>
      <c r="T313" s="4"/>
      <c r="U313" s="4"/>
    </row>
    <row r="314" spans="19:21" x14ac:dyDescent="0.25">
      <c r="S314" s="4"/>
      <c r="T314" s="4"/>
      <c r="U314" s="4"/>
    </row>
    <row r="315" spans="19:21" x14ac:dyDescent="0.25">
      <c r="S315" s="4"/>
      <c r="T315" s="4"/>
      <c r="U315" s="4"/>
    </row>
    <row r="316" spans="19:21" x14ac:dyDescent="0.25">
      <c r="S316" s="4"/>
      <c r="T316" s="4"/>
      <c r="U316" s="4"/>
    </row>
    <row r="317" spans="19:21" x14ac:dyDescent="0.25">
      <c r="S317" s="4"/>
      <c r="T317" s="4"/>
      <c r="U317" s="4"/>
    </row>
    <row r="318" spans="19:21" x14ac:dyDescent="0.25">
      <c r="S318" s="4"/>
      <c r="T318" s="4"/>
      <c r="U318" s="4"/>
    </row>
    <row r="319" spans="19:21" x14ac:dyDescent="0.25">
      <c r="S319" s="4"/>
      <c r="T319" s="4"/>
      <c r="U319" s="4"/>
    </row>
    <row r="320" spans="19:21" x14ac:dyDescent="0.25">
      <c r="S320" s="4"/>
      <c r="T320" s="4"/>
      <c r="U320" s="4"/>
    </row>
    <row r="321" spans="19:21" x14ac:dyDescent="0.25">
      <c r="S321" s="4"/>
      <c r="T321" s="4"/>
      <c r="U321" s="4"/>
    </row>
    <row r="322" spans="19:21" x14ac:dyDescent="0.25">
      <c r="S322" s="4"/>
      <c r="T322" s="4"/>
      <c r="U322" s="4"/>
    </row>
    <row r="323" spans="19:21" x14ac:dyDescent="0.25">
      <c r="S323" s="4"/>
      <c r="T323" s="4"/>
      <c r="U323" s="4"/>
    </row>
    <row r="324" spans="19:21" x14ac:dyDescent="0.25">
      <c r="S324" s="4"/>
      <c r="T324" s="4"/>
      <c r="U324" s="4"/>
    </row>
    <row r="325" spans="19:21" x14ac:dyDescent="0.25">
      <c r="S325" s="4"/>
      <c r="T325" s="4"/>
      <c r="U325" s="4"/>
    </row>
    <row r="326" spans="19:21" x14ac:dyDescent="0.25">
      <c r="S326" s="4"/>
      <c r="T326" s="4"/>
      <c r="U326" s="4"/>
    </row>
    <row r="327" spans="19:21" x14ac:dyDescent="0.25">
      <c r="S327" s="4"/>
      <c r="T327" s="4"/>
      <c r="U327" s="4"/>
    </row>
    <row r="328" spans="19:21" x14ac:dyDescent="0.25">
      <c r="S328" s="4"/>
      <c r="T328" s="4"/>
      <c r="U328" s="4"/>
    </row>
    <row r="329" spans="19:21" x14ac:dyDescent="0.25">
      <c r="S329" s="4"/>
      <c r="T329" s="4"/>
      <c r="U329" s="4"/>
    </row>
    <row r="330" spans="19:21" x14ac:dyDescent="0.25">
      <c r="S330" s="4"/>
      <c r="T330" s="4"/>
      <c r="U330" s="4"/>
    </row>
    <row r="331" spans="19:21" x14ac:dyDescent="0.25">
      <c r="S331" s="4"/>
      <c r="T331" s="4"/>
      <c r="U331" s="4"/>
    </row>
    <row r="332" spans="19:21" x14ac:dyDescent="0.25">
      <c r="S332" s="4"/>
      <c r="T332" s="4"/>
      <c r="U332" s="4"/>
    </row>
    <row r="333" spans="19:21" x14ac:dyDescent="0.25">
      <c r="S333" s="4"/>
      <c r="T333" s="4"/>
      <c r="U333" s="4"/>
    </row>
    <row r="334" spans="19:21" x14ac:dyDescent="0.25">
      <c r="S334" s="4"/>
      <c r="T334" s="4"/>
      <c r="U334" s="4"/>
    </row>
    <row r="335" spans="19:21" x14ac:dyDescent="0.25">
      <c r="S335" s="4"/>
      <c r="T335" s="4"/>
      <c r="U335" s="4"/>
    </row>
    <row r="336" spans="19:21" x14ac:dyDescent="0.25">
      <c r="S336" s="4"/>
      <c r="T336" s="4"/>
      <c r="U336" s="4"/>
    </row>
    <row r="337" spans="19:21" x14ac:dyDescent="0.25">
      <c r="S337" s="4"/>
      <c r="T337" s="4"/>
      <c r="U337" s="4"/>
    </row>
    <row r="338" spans="19:21" x14ac:dyDescent="0.25">
      <c r="S338" s="4"/>
      <c r="T338" s="4"/>
      <c r="U338" s="4"/>
    </row>
    <row r="339" spans="19:21" x14ac:dyDescent="0.25">
      <c r="S339" s="4"/>
      <c r="T339" s="4"/>
      <c r="U339" s="4"/>
    </row>
    <row r="340" spans="19:21" x14ac:dyDescent="0.25">
      <c r="S340" s="4"/>
      <c r="T340" s="4"/>
      <c r="U340" s="4"/>
    </row>
    <row r="341" spans="19:21" x14ac:dyDescent="0.25">
      <c r="S341" s="4"/>
      <c r="T341" s="4"/>
      <c r="U341" s="4"/>
    </row>
    <row r="342" spans="19:21" x14ac:dyDescent="0.25">
      <c r="S342" s="4"/>
      <c r="T342" s="4"/>
      <c r="U342" s="4"/>
    </row>
    <row r="343" spans="19:21" x14ac:dyDescent="0.25">
      <c r="S343" s="4"/>
      <c r="T343" s="4"/>
      <c r="U343" s="4"/>
    </row>
    <row r="344" spans="19:21" x14ac:dyDescent="0.25">
      <c r="S344" s="4"/>
      <c r="T344" s="4"/>
      <c r="U344" s="4"/>
    </row>
    <row r="345" spans="19:21" x14ac:dyDescent="0.25">
      <c r="S345" s="4"/>
      <c r="T345" s="4"/>
      <c r="U345" s="4"/>
    </row>
    <row r="346" spans="19:21" x14ac:dyDescent="0.25">
      <c r="S346" s="4"/>
      <c r="T346" s="4"/>
      <c r="U346" s="4"/>
    </row>
    <row r="347" spans="19:21" x14ac:dyDescent="0.25">
      <c r="S347" s="4"/>
      <c r="T347" s="4"/>
      <c r="U347" s="4"/>
    </row>
    <row r="348" spans="19:21" x14ac:dyDescent="0.25">
      <c r="S348" s="4"/>
      <c r="T348" s="4"/>
      <c r="U348" s="4"/>
    </row>
    <row r="349" spans="19:21" x14ac:dyDescent="0.25">
      <c r="S349" s="4"/>
      <c r="T349" s="4"/>
      <c r="U349" s="4"/>
    </row>
    <row r="350" spans="19:21" x14ac:dyDescent="0.25">
      <c r="S350" s="4"/>
      <c r="T350" s="4"/>
      <c r="U350" s="4"/>
    </row>
    <row r="351" spans="19:21" x14ac:dyDescent="0.25">
      <c r="S351" s="4"/>
      <c r="T351" s="4"/>
      <c r="U351" s="4"/>
    </row>
    <row r="352" spans="19:21" x14ac:dyDescent="0.25">
      <c r="S352" s="4"/>
      <c r="T352" s="4"/>
      <c r="U352" s="4"/>
    </row>
    <row r="353" spans="19:21" x14ac:dyDescent="0.25">
      <c r="S353" s="4"/>
      <c r="T353" s="4"/>
      <c r="U353" s="4"/>
    </row>
    <row r="354" spans="19:21" x14ac:dyDescent="0.25">
      <c r="S354" s="4"/>
      <c r="T354" s="4"/>
      <c r="U354" s="4"/>
    </row>
    <row r="355" spans="19:21" x14ac:dyDescent="0.25">
      <c r="S355" s="4"/>
      <c r="T355" s="4"/>
      <c r="U355" s="4"/>
    </row>
    <row r="356" spans="19:21" x14ac:dyDescent="0.25">
      <c r="S356" s="4"/>
      <c r="T356" s="4"/>
      <c r="U356" s="4"/>
    </row>
    <row r="357" spans="19:21" x14ac:dyDescent="0.25">
      <c r="S357" s="4"/>
      <c r="T357" s="4"/>
      <c r="U357" s="4"/>
    </row>
    <row r="358" spans="19:21" x14ac:dyDescent="0.25">
      <c r="S358" s="4"/>
      <c r="T358" s="4"/>
      <c r="U358" s="4"/>
    </row>
    <row r="359" spans="19:21" x14ac:dyDescent="0.25">
      <c r="S359" s="4"/>
      <c r="T359" s="4"/>
      <c r="U359" s="4"/>
    </row>
    <row r="360" spans="19:21" x14ac:dyDescent="0.25">
      <c r="S360" s="4"/>
      <c r="T360" s="4"/>
      <c r="U360" s="4"/>
    </row>
    <row r="361" spans="19:21" x14ac:dyDescent="0.25">
      <c r="S361" s="4"/>
      <c r="T361" s="4"/>
      <c r="U361" s="4"/>
    </row>
    <row r="362" spans="19:21" x14ac:dyDescent="0.25">
      <c r="S362" s="4"/>
      <c r="T362" s="4"/>
      <c r="U362" s="4"/>
    </row>
    <row r="363" spans="19:21" x14ac:dyDescent="0.25">
      <c r="S363" s="4"/>
      <c r="T363" s="4"/>
      <c r="U363" s="4"/>
    </row>
    <row r="364" spans="19:21" x14ac:dyDescent="0.25">
      <c r="S364" s="4"/>
      <c r="T364" s="4"/>
      <c r="U364" s="4"/>
    </row>
    <row r="365" spans="19:21" x14ac:dyDescent="0.25">
      <c r="S365" s="4"/>
      <c r="T365" s="4"/>
      <c r="U365" s="4"/>
    </row>
    <row r="366" spans="19:21" x14ac:dyDescent="0.25">
      <c r="S366" s="4"/>
      <c r="T366" s="4"/>
      <c r="U366" s="4"/>
    </row>
    <row r="367" spans="19:21" x14ac:dyDescent="0.25">
      <c r="S367" s="4"/>
      <c r="T367" s="4"/>
      <c r="U367" s="4"/>
    </row>
    <row r="368" spans="19:21" x14ac:dyDescent="0.25">
      <c r="S368" s="4"/>
      <c r="T368" s="4"/>
      <c r="U368" s="4"/>
    </row>
    <row r="369" spans="19:21" x14ac:dyDescent="0.25">
      <c r="S369" s="4"/>
      <c r="T369" s="4"/>
      <c r="U369" s="4"/>
    </row>
    <row r="370" spans="19:21" x14ac:dyDescent="0.25">
      <c r="S370" s="4"/>
      <c r="T370" s="4"/>
      <c r="U370" s="4"/>
    </row>
    <row r="371" spans="19:21" x14ac:dyDescent="0.25">
      <c r="S371" s="4"/>
      <c r="T371" s="4"/>
      <c r="U371" s="4"/>
    </row>
    <row r="372" spans="19:21" x14ac:dyDescent="0.25">
      <c r="S372" s="4"/>
      <c r="T372" s="4"/>
      <c r="U372" s="4"/>
    </row>
    <row r="373" spans="19:21" x14ac:dyDescent="0.25">
      <c r="S373" s="4"/>
      <c r="T373" s="4"/>
      <c r="U373" s="4"/>
    </row>
    <row r="374" spans="19:21" x14ac:dyDescent="0.25">
      <c r="S374" s="4"/>
      <c r="T374" s="4"/>
      <c r="U374" s="4"/>
    </row>
    <row r="375" spans="19:21" x14ac:dyDescent="0.25">
      <c r="S375" s="4"/>
      <c r="T375" s="4"/>
      <c r="U375" s="4"/>
    </row>
    <row r="376" spans="19:21" x14ac:dyDescent="0.25">
      <c r="S376" s="4"/>
      <c r="T376" s="4"/>
      <c r="U376" s="4"/>
    </row>
    <row r="377" spans="19:21" x14ac:dyDescent="0.25">
      <c r="S377" s="4"/>
      <c r="T377" s="4"/>
      <c r="U377" s="4"/>
    </row>
    <row r="378" spans="19:21" x14ac:dyDescent="0.25">
      <c r="S378" s="4"/>
      <c r="T378" s="4"/>
      <c r="U378" s="4"/>
    </row>
    <row r="379" spans="19:21" x14ac:dyDescent="0.25">
      <c r="S379" s="4"/>
      <c r="T379" s="4"/>
      <c r="U379" s="4"/>
    </row>
    <row r="380" spans="19:21" x14ac:dyDescent="0.25">
      <c r="S380" s="4"/>
      <c r="T380" s="4"/>
      <c r="U380" s="4"/>
    </row>
    <row r="381" spans="19:21" x14ac:dyDescent="0.25">
      <c r="S381" s="4"/>
      <c r="T381" s="4"/>
      <c r="U381" s="4"/>
    </row>
    <row r="382" spans="19:21" x14ac:dyDescent="0.25">
      <c r="S382" s="4"/>
      <c r="T382" s="4"/>
      <c r="U382" s="4"/>
    </row>
    <row r="383" spans="19:21" x14ac:dyDescent="0.25">
      <c r="S383" s="4"/>
      <c r="T383" s="4"/>
      <c r="U383" s="4"/>
    </row>
    <row r="384" spans="19:21" x14ac:dyDescent="0.25">
      <c r="S384" s="4"/>
      <c r="T384" s="4"/>
      <c r="U384" s="4"/>
    </row>
    <row r="385" spans="19:21" x14ac:dyDescent="0.25">
      <c r="S385" s="4"/>
      <c r="T385" s="4"/>
      <c r="U385" s="4"/>
    </row>
    <row r="386" spans="19:21" x14ac:dyDescent="0.25">
      <c r="S386" s="4"/>
      <c r="T386" s="4"/>
      <c r="U386" s="4"/>
    </row>
    <row r="387" spans="19:21" x14ac:dyDescent="0.25">
      <c r="S387" s="4"/>
      <c r="T387" s="4"/>
      <c r="U387" s="4"/>
    </row>
    <row r="388" spans="19:21" x14ac:dyDescent="0.25">
      <c r="S388" s="4"/>
      <c r="T388" s="4"/>
      <c r="U388" s="4"/>
    </row>
    <row r="389" spans="19:21" x14ac:dyDescent="0.25">
      <c r="S389" s="4"/>
      <c r="T389" s="4"/>
      <c r="U389" s="4"/>
    </row>
    <row r="390" spans="19:21" x14ac:dyDescent="0.25">
      <c r="S390" s="4"/>
      <c r="T390" s="4"/>
      <c r="U390" s="4"/>
    </row>
    <row r="391" spans="19:21" x14ac:dyDescent="0.25">
      <c r="S391" s="4"/>
      <c r="T391" s="4"/>
      <c r="U391" s="4"/>
    </row>
    <row r="392" spans="19:21" x14ac:dyDescent="0.25">
      <c r="S392" s="4"/>
      <c r="T392" s="4"/>
      <c r="U392" s="4"/>
    </row>
    <row r="393" spans="19:21" x14ac:dyDescent="0.25">
      <c r="S393" s="4"/>
      <c r="T393" s="4"/>
      <c r="U393" s="4"/>
    </row>
    <row r="394" spans="19:21" x14ac:dyDescent="0.25">
      <c r="S394" s="4"/>
      <c r="T394" s="4"/>
      <c r="U394" s="4"/>
    </row>
    <row r="395" spans="19:21" x14ac:dyDescent="0.25">
      <c r="S395" s="4"/>
      <c r="T395" s="4"/>
      <c r="U395" s="4"/>
    </row>
    <row r="396" spans="19:21" x14ac:dyDescent="0.25">
      <c r="S396" s="4"/>
      <c r="T396" s="4"/>
      <c r="U396" s="4"/>
    </row>
    <row r="397" spans="19:21" x14ac:dyDescent="0.25">
      <c r="S397" s="4"/>
      <c r="T397" s="4"/>
      <c r="U397" s="4"/>
    </row>
    <row r="398" spans="19:21" x14ac:dyDescent="0.25">
      <c r="S398" s="4"/>
      <c r="T398" s="4"/>
      <c r="U398" s="4"/>
    </row>
    <row r="399" spans="19:21" x14ac:dyDescent="0.25">
      <c r="S399" s="4"/>
      <c r="T399" s="4"/>
      <c r="U399" s="4"/>
    </row>
    <row r="400" spans="19:21" x14ac:dyDescent="0.25">
      <c r="S400" s="4"/>
      <c r="T400" s="4"/>
      <c r="U400" s="4"/>
    </row>
    <row r="401" spans="19:21" x14ac:dyDescent="0.25">
      <c r="S401" s="4"/>
      <c r="T401" s="4"/>
      <c r="U401" s="4"/>
    </row>
    <row r="402" spans="19:21" x14ac:dyDescent="0.25">
      <c r="S402" s="4"/>
      <c r="T402" s="4"/>
      <c r="U402" s="4"/>
    </row>
    <row r="403" spans="19:21" x14ac:dyDescent="0.25">
      <c r="S403" s="4"/>
      <c r="T403" s="4"/>
      <c r="U403" s="4"/>
    </row>
    <row r="404" spans="19:21" x14ac:dyDescent="0.25">
      <c r="S404" s="4"/>
      <c r="T404" s="4"/>
      <c r="U404" s="4"/>
    </row>
    <row r="405" spans="19:21" x14ac:dyDescent="0.25">
      <c r="S405" s="4"/>
      <c r="T405" s="4"/>
      <c r="U405" s="4"/>
    </row>
    <row r="406" spans="19:21" x14ac:dyDescent="0.25">
      <c r="S406" s="4"/>
      <c r="T406" s="4"/>
      <c r="U406" s="4"/>
    </row>
    <row r="407" spans="19:21" x14ac:dyDescent="0.25">
      <c r="S407" s="4"/>
      <c r="T407" s="4"/>
      <c r="U407" s="4"/>
    </row>
    <row r="408" spans="19:21" x14ac:dyDescent="0.25">
      <c r="S408" s="4"/>
      <c r="T408" s="4"/>
      <c r="U408" s="4"/>
    </row>
    <row r="409" spans="19:21" x14ac:dyDescent="0.25">
      <c r="S409" s="4"/>
      <c r="T409" s="4"/>
      <c r="U409" s="4"/>
    </row>
    <row r="410" spans="19:21" x14ac:dyDescent="0.25">
      <c r="S410" s="4"/>
      <c r="T410" s="4"/>
      <c r="U410" s="4"/>
    </row>
    <row r="411" spans="19:21" x14ac:dyDescent="0.25">
      <c r="S411" s="4"/>
      <c r="T411" s="4"/>
      <c r="U411" s="4"/>
    </row>
    <row r="412" spans="19:21" x14ac:dyDescent="0.25">
      <c r="S412" s="4"/>
      <c r="T412" s="4"/>
      <c r="U412" s="4"/>
    </row>
    <row r="413" spans="19:21" x14ac:dyDescent="0.25">
      <c r="S413" s="4"/>
      <c r="T413" s="4"/>
      <c r="U413" s="4"/>
    </row>
    <row r="414" spans="19:21" x14ac:dyDescent="0.25">
      <c r="S414" s="4"/>
      <c r="T414" s="4"/>
      <c r="U414" s="4"/>
    </row>
    <row r="415" spans="19:21" x14ac:dyDescent="0.25">
      <c r="S415" s="4"/>
      <c r="T415" s="4"/>
      <c r="U415" s="4"/>
    </row>
    <row r="416" spans="19:21" x14ac:dyDescent="0.25">
      <c r="S416" s="4"/>
      <c r="T416" s="4"/>
      <c r="U416" s="4"/>
    </row>
    <row r="417" spans="19:21" x14ac:dyDescent="0.25">
      <c r="S417" s="4"/>
      <c r="T417" s="4"/>
      <c r="U417" s="4"/>
    </row>
    <row r="418" spans="19:21" x14ac:dyDescent="0.25">
      <c r="S418" s="4"/>
      <c r="T418" s="4"/>
      <c r="U418" s="4"/>
    </row>
    <row r="419" spans="19:21" x14ac:dyDescent="0.25">
      <c r="S419" s="4"/>
      <c r="T419" s="4"/>
      <c r="U419" s="4"/>
    </row>
    <row r="420" spans="19:21" x14ac:dyDescent="0.25">
      <c r="S420" s="4"/>
      <c r="T420" s="4"/>
      <c r="U420" s="4"/>
    </row>
    <row r="421" spans="19:21" x14ac:dyDescent="0.25">
      <c r="S421" s="4"/>
      <c r="T421" s="4"/>
      <c r="U421" s="4"/>
    </row>
    <row r="422" spans="19:21" x14ac:dyDescent="0.25">
      <c r="S422" s="4"/>
      <c r="T422" s="4"/>
      <c r="U422" s="4"/>
    </row>
    <row r="423" spans="19:21" x14ac:dyDescent="0.25">
      <c r="S423" s="4"/>
      <c r="T423" s="4"/>
      <c r="U423" s="4"/>
    </row>
    <row r="424" spans="19:21" x14ac:dyDescent="0.25">
      <c r="S424" s="4"/>
      <c r="T424" s="4"/>
      <c r="U424" s="4"/>
    </row>
    <row r="425" spans="19:21" x14ac:dyDescent="0.25">
      <c r="S425" s="4"/>
      <c r="T425" s="4"/>
      <c r="U425" s="4"/>
    </row>
    <row r="426" spans="19:21" x14ac:dyDescent="0.25">
      <c r="S426" s="4"/>
      <c r="T426" s="4"/>
      <c r="U426" s="4"/>
    </row>
    <row r="427" spans="19:21" x14ac:dyDescent="0.25">
      <c r="S427" s="4"/>
      <c r="T427" s="4"/>
      <c r="U427" s="4"/>
    </row>
    <row r="428" spans="19:21" x14ac:dyDescent="0.25">
      <c r="S428" s="4"/>
      <c r="T428" s="4"/>
      <c r="U428" s="4"/>
    </row>
    <row r="429" spans="19:21" x14ac:dyDescent="0.25">
      <c r="S429" s="4"/>
      <c r="T429" s="4"/>
      <c r="U429" s="4"/>
    </row>
    <row r="430" spans="19:21" x14ac:dyDescent="0.25">
      <c r="S430" s="4"/>
      <c r="T430" s="4"/>
      <c r="U430" s="4"/>
    </row>
    <row r="431" spans="19:21" x14ac:dyDescent="0.25">
      <c r="S431" s="4"/>
      <c r="T431" s="4"/>
      <c r="U431" s="4"/>
    </row>
    <row r="432" spans="19:21" x14ac:dyDescent="0.25">
      <c r="S432" s="4"/>
      <c r="T432" s="4"/>
      <c r="U432" s="4"/>
    </row>
    <row r="433" spans="19:21" x14ac:dyDescent="0.25">
      <c r="S433" s="4"/>
      <c r="T433" s="4"/>
      <c r="U433" s="4"/>
    </row>
    <row r="434" spans="19:21" x14ac:dyDescent="0.25">
      <c r="S434" s="4"/>
      <c r="T434" s="4"/>
      <c r="U434" s="4"/>
    </row>
    <row r="435" spans="19:21" x14ac:dyDescent="0.25">
      <c r="S435" s="4"/>
      <c r="T435" s="4"/>
      <c r="U435" s="4"/>
    </row>
  </sheetData>
  <pageMargins left="0.7" right="0.7" top="0.75" bottom="0.75" header="0.3" footer="0.3"/>
  <pageSetup paperSize="9" orientation="portrait" horizontalDpi="1200" verticalDpi="1200" r:id="rId1"/>
  <ignoredErrors>
    <ignoredError sqref="L6" formula="1"/>
    <ignoredError sqref="F69 D71:E72 F71:K72 D75:G75 J75:K75 D7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topLeftCell="A21" zoomScaleNormal="100" workbookViewId="0">
      <selection activeCell="L36" sqref="L36:L41"/>
    </sheetView>
  </sheetViews>
  <sheetFormatPr defaultRowHeight="15" x14ac:dyDescent="0.25"/>
  <cols>
    <col min="1" max="1" width="17" customWidth="1"/>
    <col min="2" max="2" width="22.28515625" customWidth="1"/>
    <col min="3" max="3" width="24.7109375" customWidth="1"/>
    <col min="6" max="6" width="9.7109375" bestFit="1" customWidth="1"/>
    <col min="15" max="15" width="13.7109375" customWidth="1"/>
    <col min="18" max="18" width="17.85546875" style="37" customWidth="1"/>
    <col min="19" max="19" width="23.42578125" customWidth="1"/>
    <col min="20" max="20" width="13.85546875" customWidth="1"/>
    <col min="21" max="21" width="13" customWidth="1"/>
    <col min="22" max="22" width="26" customWidth="1"/>
    <col min="24" max="24" width="12.85546875" customWidth="1"/>
    <col min="25" max="25" width="26" customWidth="1"/>
    <col min="27" max="27" width="16.42578125" customWidth="1"/>
    <col min="28" max="28" width="19.28515625" customWidth="1"/>
    <col min="29" max="29" width="12" customWidth="1"/>
    <col min="30" max="30" width="16.140625" customWidth="1"/>
    <col min="31" max="31" width="23.140625" customWidth="1"/>
    <col min="32" max="32" width="12" customWidth="1"/>
    <col min="33" max="33" width="16.140625" customWidth="1"/>
    <col min="34" max="34" width="14.7109375" customWidth="1"/>
    <col min="35" max="35" width="12" customWidth="1"/>
    <col min="36" max="36" width="16.140625" customWidth="1"/>
    <col min="37" max="37" width="21.42578125" customWidth="1"/>
    <col min="38" max="38" width="12" customWidth="1"/>
  </cols>
  <sheetData>
    <row r="1" spans="1:38" x14ac:dyDescent="0.25">
      <c r="D1" t="s">
        <v>31</v>
      </c>
    </row>
    <row r="2" spans="1:38" ht="61.5" customHeight="1" thickBot="1" x14ac:dyDescent="0.3">
      <c r="A2" s="7" t="s">
        <v>0</v>
      </c>
      <c r="B2" t="s">
        <v>10</v>
      </c>
      <c r="C2" t="s">
        <v>5</v>
      </c>
      <c r="D2" s="23" t="s">
        <v>467</v>
      </c>
      <c r="E2" s="23" t="s">
        <v>469</v>
      </c>
      <c r="F2" s="45" t="s">
        <v>487</v>
      </c>
      <c r="G2" s="23" t="s">
        <v>470</v>
      </c>
      <c r="H2" s="23" t="s">
        <v>471</v>
      </c>
      <c r="I2" s="23" t="s">
        <v>472</v>
      </c>
      <c r="J2" s="23" t="s">
        <v>473</v>
      </c>
      <c r="K2" s="23" t="s">
        <v>474</v>
      </c>
      <c r="L2" s="23" t="s">
        <v>475</v>
      </c>
      <c r="M2" s="23" t="s">
        <v>476</v>
      </c>
      <c r="N2" s="23" t="s">
        <v>478</v>
      </c>
      <c r="O2" s="23" t="s">
        <v>477</v>
      </c>
      <c r="P2" s="23" t="s">
        <v>478</v>
      </c>
      <c r="Q2" s="23" t="s">
        <v>477</v>
      </c>
      <c r="R2" s="46" t="s">
        <v>479</v>
      </c>
      <c r="S2" s="45" t="s">
        <v>33</v>
      </c>
      <c r="T2" s="23" t="s">
        <v>480</v>
      </c>
      <c r="U2" s="45" t="s">
        <v>32</v>
      </c>
      <c r="V2" s="45" t="s">
        <v>33</v>
      </c>
      <c r="W2" s="23" t="s">
        <v>480</v>
      </c>
      <c r="X2" s="45" t="s">
        <v>32</v>
      </c>
      <c r="Y2" s="45" t="s">
        <v>33</v>
      </c>
      <c r="Z2" s="23" t="s">
        <v>480</v>
      </c>
      <c r="AA2" s="45" t="s">
        <v>32</v>
      </c>
      <c r="AB2" s="45" t="s">
        <v>33</v>
      </c>
      <c r="AC2" s="23" t="s">
        <v>480</v>
      </c>
      <c r="AD2" s="45" t="s">
        <v>32</v>
      </c>
      <c r="AE2" s="45" t="s">
        <v>33</v>
      </c>
      <c r="AF2" s="23" t="s">
        <v>480</v>
      </c>
      <c r="AG2" s="45" t="s">
        <v>32</v>
      </c>
      <c r="AH2" s="45" t="s">
        <v>33</v>
      </c>
      <c r="AI2" s="23" t="s">
        <v>480</v>
      </c>
      <c r="AJ2" s="45" t="s">
        <v>32</v>
      </c>
      <c r="AK2" s="45" t="s">
        <v>33</v>
      </c>
      <c r="AL2" s="23" t="s">
        <v>480</v>
      </c>
    </row>
    <row r="3" spans="1:38" x14ac:dyDescent="0.25">
      <c r="A3" s="214" t="s">
        <v>20</v>
      </c>
      <c r="B3" s="10" t="s">
        <v>16</v>
      </c>
      <c r="C3" s="50" t="s">
        <v>17</v>
      </c>
      <c r="D3" s="52">
        <v>4</v>
      </c>
      <c r="E3" s="41">
        <v>15</v>
      </c>
      <c r="F3" s="41" t="s">
        <v>116</v>
      </c>
      <c r="G3" s="41" t="s">
        <v>34</v>
      </c>
      <c r="H3" s="41">
        <v>75</v>
      </c>
      <c r="I3" s="41">
        <v>130</v>
      </c>
      <c r="J3" s="41">
        <f>N3*0.08</f>
        <v>24</v>
      </c>
      <c r="K3" s="41">
        <f>N3*0.09</f>
        <v>27</v>
      </c>
      <c r="L3" s="41">
        <f>N3*0.18</f>
        <v>54</v>
      </c>
      <c r="M3" s="79">
        <f>0.3*0.36+0.3*0.35+0.5*0.45+1.9*0.5024+1.5*0.2</f>
        <v>1.6925599999999998</v>
      </c>
      <c r="N3" s="41">
        <v>300</v>
      </c>
      <c r="O3" s="42" t="s">
        <v>117</v>
      </c>
      <c r="P3" s="41"/>
      <c r="Q3" s="42"/>
      <c r="R3" s="43" t="s">
        <v>118</v>
      </c>
      <c r="S3" s="44" t="s">
        <v>119</v>
      </c>
      <c r="T3" s="44" t="s">
        <v>87</v>
      </c>
      <c r="U3" s="44" t="s">
        <v>120</v>
      </c>
      <c r="V3" s="44" t="s">
        <v>121</v>
      </c>
      <c r="W3" s="44" t="s">
        <v>122</v>
      </c>
      <c r="X3" s="44" t="s">
        <v>123</v>
      </c>
      <c r="Y3" s="44" t="s">
        <v>124</v>
      </c>
      <c r="Z3" s="44" t="s">
        <v>49</v>
      </c>
      <c r="AA3" s="44" t="s">
        <v>125</v>
      </c>
      <c r="AB3" s="44" t="s">
        <v>126</v>
      </c>
      <c r="AC3" s="44" t="s">
        <v>127</v>
      </c>
      <c r="AD3" s="31" t="s">
        <v>128</v>
      </c>
      <c r="AE3" s="44" t="s">
        <v>129</v>
      </c>
      <c r="AF3" s="44" t="s">
        <v>48</v>
      </c>
      <c r="AG3" s="31"/>
      <c r="AH3" s="44"/>
      <c r="AI3" s="44"/>
      <c r="AJ3" s="31"/>
      <c r="AK3" s="44"/>
      <c r="AL3" s="44"/>
    </row>
    <row r="4" spans="1:38" x14ac:dyDescent="0.25">
      <c r="A4" s="12"/>
      <c r="B4" s="6" t="s">
        <v>18</v>
      </c>
      <c r="C4" s="18">
        <v>300</v>
      </c>
      <c r="D4" s="51">
        <v>4</v>
      </c>
      <c r="E4" s="34">
        <v>14</v>
      </c>
      <c r="F4" s="34" t="s">
        <v>116</v>
      </c>
      <c r="G4" s="34" t="s">
        <v>34</v>
      </c>
      <c r="H4" s="34">
        <v>75</v>
      </c>
      <c r="I4" s="34">
        <v>249</v>
      </c>
      <c r="J4" s="49"/>
      <c r="K4" s="49"/>
      <c r="L4" s="49"/>
      <c r="M4" s="68">
        <f>1*0.96+0.4*0.35+1*0.04+0.003*0.5+1.1*0.1</f>
        <v>1.2515000000000001</v>
      </c>
      <c r="N4" s="34"/>
      <c r="O4" s="35"/>
      <c r="P4" s="34"/>
      <c r="Q4" s="35"/>
      <c r="R4" s="37" t="s">
        <v>138</v>
      </c>
      <c r="S4" t="s">
        <v>200</v>
      </c>
      <c r="T4">
        <v>1</v>
      </c>
      <c r="U4" t="s">
        <v>149</v>
      </c>
      <c r="V4" s="6" t="s">
        <v>121</v>
      </c>
      <c r="W4">
        <v>0.4</v>
      </c>
      <c r="X4" t="s">
        <v>132</v>
      </c>
      <c r="Y4" t="s">
        <v>164</v>
      </c>
      <c r="Z4">
        <v>1</v>
      </c>
      <c r="AA4" s="6" t="s">
        <v>134</v>
      </c>
      <c r="AB4" s="65" t="s">
        <v>201</v>
      </c>
      <c r="AC4" s="6">
        <v>3.0000000000000001E-3</v>
      </c>
      <c r="AD4" s="6" t="s">
        <v>144</v>
      </c>
      <c r="AE4" t="s">
        <v>153</v>
      </c>
      <c r="AF4">
        <v>1.1000000000000001</v>
      </c>
      <c r="AG4" s="4"/>
      <c r="AJ4" s="4"/>
    </row>
    <row r="5" spans="1:38" x14ac:dyDescent="0.25">
      <c r="A5" s="12"/>
      <c r="B5" s="6" t="s">
        <v>18</v>
      </c>
      <c r="C5" s="18">
        <v>994</v>
      </c>
      <c r="D5" s="51">
        <v>3.3</v>
      </c>
      <c r="E5" s="34">
        <v>14</v>
      </c>
      <c r="F5" s="34" t="s">
        <v>34</v>
      </c>
      <c r="G5" s="34" t="s">
        <v>34</v>
      </c>
      <c r="H5" s="34">
        <v>70</v>
      </c>
      <c r="I5" s="34">
        <v>159</v>
      </c>
      <c r="J5" s="49"/>
      <c r="K5" s="49"/>
      <c r="L5" s="49"/>
      <c r="M5" s="68">
        <f>1*0.96+0.4*0.35+1*0.04+0.003*0.5+1.1*0.1</f>
        <v>1.2515000000000001</v>
      </c>
      <c r="N5" s="34"/>
      <c r="O5" s="35"/>
      <c r="P5" s="34"/>
      <c r="Q5" s="35"/>
      <c r="R5" s="37" t="s">
        <v>138</v>
      </c>
      <c r="S5" t="s">
        <v>200</v>
      </c>
      <c r="T5">
        <v>1</v>
      </c>
      <c r="U5" t="s">
        <v>149</v>
      </c>
      <c r="V5" s="6" t="s">
        <v>121</v>
      </c>
      <c r="W5">
        <v>0.4</v>
      </c>
      <c r="X5" t="s">
        <v>132</v>
      </c>
      <c r="Y5" t="s">
        <v>164</v>
      </c>
      <c r="Z5">
        <v>1</v>
      </c>
      <c r="AA5" s="6" t="s">
        <v>134</v>
      </c>
      <c r="AB5" s="65" t="s">
        <v>201</v>
      </c>
      <c r="AC5" s="6">
        <v>3.0000000000000001E-3</v>
      </c>
      <c r="AD5" s="6" t="s">
        <v>144</v>
      </c>
      <c r="AE5" t="s">
        <v>153</v>
      </c>
      <c r="AF5">
        <v>1.1000000000000001</v>
      </c>
      <c r="AG5" s="4"/>
      <c r="AJ5" s="4"/>
    </row>
    <row r="6" spans="1:38" x14ac:dyDescent="0.25">
      <c r="A6" s="12"/>
      <c r="B6" s="6" t="s">
        <v>18</v>
      </c>
      <c r="C6" s="18">
        <v>1165</v>
      </c>
      <c r="D6" s="51">
        <v>3.3</v>
      </c>
      <c r="E6" s="34">
        <v>14</v>
      </c>
      <c r="F6" s="34" t="s">
        <v>34</v>
      </c>
      <c r="G6" s="34" t="s">
        <v>34</v>
      </c>
      <c r="H6" s="34">
        <v>70</v>
      </c>
      <c r="I6" s="34">
        <v>159</v>
      </c>
      <c r="J6" s="49"/>
      <c r="K6" s="49"/>
      <c r="L6" s="49"/>
      <c r="M6" s="68">
        <f>1*0.96+0.4*0.35+1*0.04+0.003*0.5+1.2*0.1</f>
        <v>1.2614999999999998</v>
      </c>
      <c r="N6" s="34"/>
      <c r="O6" s="35"/>
      <c r="P6" s="34"/>
      <c r="Q6" s="35"/>
      <c r="R6" s="37" t="s">
        <v>138</v>
      </c>
      <c r="S6" t="s">
        <v>200</v>
      </c>
      <c r="T6">
        <v>1</v>
      </c>
      <c r="U6" t="s">
        <v>149</v>
      </c>
      <c r="V6" s="6" t="s">
        <v>121</v>
      </c>
      <c r="W6">
        <v>0.4</v>
      </c>
      <c r="X6" t="s">
        <v>132</v>
      </c>
      <c r="Y6" t="s">
        <v>164</v>
      </c>
      <c r="Z6">
        <v>1</v>
      </c>
      <c r="AA6" s="6" t="s">
        <v>134</v>
      </c>
      <c r="AB6" s="65" t="s">
        <v>201</v>
      </c>
      <c r="AC6" s="6">
        <v>3.0000000000000001E-3</v>
      </c>
      <c r="AD6" s="6" t="s">
        <v>189</v>
      </c>
      <c r="AE6" s="6" t="s">
        <v>202</v>
      </c>
      <c r="AF6">
        <v>1.2</v>
      </c>
      <c r="AG6" s="4"/>
      <c r="AJ6" s="4"/>
    </row>
    <row r="7" spans="1:38" x14ac:dyDescent="0.25">
      <c r="A7" s="12"/>
      <c r="B7" s="6" t="s">
        <v>18</v>
      </c>
      <c r="C7" s="18">
        <v>834</v>
      </c>
      <c r="D7" s="51">
        <v>3.5</v>
      </c>
      <c r="E7" s="34">
        <v>14</v>
      </c>
      <c r="F7" s="34" t="s">
        <v>34</v>
      </c>
      <c r="G7" s="34" t="s">
        <v>34</v>
      </c>
      <c r="H7" s="34">
        <v>70</v>
      </c>
      <c r="I7" s="34">
        <v>159</v>
      </c>
      <c r="J7" s="49"/>
      <c r="K7" s="49"/>
      <c r="L7" s="49"/>
      <c r="M7" s="68">
        <f>1*0.96+1*0.455+1*0.04+0.003*0.5+1.2*0.1</f>
        <v>1.5765000000000002</v>
      </c>
      <c r="N7" s="34"/>
      <c r="O7" s="35"/>
      <c r="P7" s="34"/>
      <c r="Q7" s="35"/>
      <c r="R7" s="37" t="s">
        <v>138</v>
      </c>
      <c r="S7" t="s">
        <v>200</v>
      </c>
      <c r="T7">
        <v>1</v>
      </c>
      <c r="U7" t="s">
        <v>203</v>
      </c>
      <c r="V7" s="6" t="s">
        <v>82</v>
      </c>
      <c r="W7">
        <v>1</v>
      </c>
      <c r="X7" t="s">
        <v>132</v>
      </c>
      <c r="Y7" t="s">
        <v>164</v>
      </c>
      <c r="Z7">
        <v>1</v>
      </c>
      <c r="AA7" s="6" t="s">
        <v>134</v>
      </c>
      <c r="AB7" s="65" t="s">
        <v>201</v>
      </c>
      <c r="AC7" s="6">
        <v>3.0000000000000001E-3</v>
      </c>
      <c r="AD7" s="6" t="s">
        <v>189</v>
      </c>
      <c r="AE7" s="6" t="s">
        <v>202</v>
      </c>
      <c r="AF7">
        <v>1.2</v>
      </c>
      <c r="AG7" s="4"/>
      <c r="AJ7" s="4"/>
    </row>
    <row r="8" spans="1:38" x14ac:dyDescent="0.25">
      <c r="A8" s="12"/>
      <c r="B8" s="6" t="s">
        <v>18</v>
      </c>
      <c r="C8" s="18">
        <v>617</v>
      </c>
      <c r="D8" s="51">
        <v>3.5</v>
      </c>
      <c r="E8" s="34">
        <v>14</v>
      </c>
      <c r="F8" s="34" t="s">
        <v>116</v>
      </c>
      <c r="G8" s="34" t="s">
        <v>34</v>
      </c>
      <c r="H8" s="34">
        <v>70</v>
      </c>
      <c r="I8" s="34">
        <v>249</v>
      </c>
      <c r="J8" s="49"/>
      <c r="K8" s="49"/>
      <c r="L8" s="49"/>
      <c r="M8" s="68">
        <f>1*0.96+0.4*0.35+1*0.04+0.003*0.5+1.2*0.1</f>
        <v>1.2614999999999998</v>
      </c>
      <c r="N8" s="34"/>
      <c r="O8" s="35"/>
      <c r="P8" s="34"/>
      <c r="Q8" s="35"/>
      <c r="R8" s="37" t="s">
        <v>138</v>
      </c>
      <c r="S8" t="s">
        <v>200</v>
      </c>
      <c r="T8">
        <v>1</v>
      </c>
      <c r="U8" t="s">
        <v>149</v>
      </c>
      <c r="V8" s="6" t="s">
        <v>121</v>
      </c>
      <c r="W8">
        <v>0.4</v>
      </c>
      <c r="X8" t="s">
        <v>132</v>
      </c>
      <c r="Y8" t="s">
        <v>164</v>
      </c>
      <c r="Z8">
        <v>1</v>
      </c>
      <c r="AA8" s="6" t="s">
        <v>134</v>
      </c>
      <c r="AB8" s="65" t="s">
        <v>201</v>
      </c>
      <c r="AC8" s="6">
        <v>3.0000000000000001E-3</v>
      </c>
      <c r="AD8" s="6" t="s">
        <v>189</v>
      </c>
      <c r="AE8" s="6" t="s">
        <v>202</v>
      </c>
      <c r="AF8">
        <v>1.2</v>
      </c>
      <c r="AG8" s="4"/>
      <c r="AJ8" s="4"/>
    </row>
    <row r="9" spans="1:38" x14ac:dyDescent="0.25">
      <c r="A9" s="12"/>
      <c r="B9" s="6" t="s">
        <v>18</v>
      </c>
      <c r="C9" s="18">
        <v>127</v>
      </c>
      <c r="D9" s="51">
        <v>3.5</v>
      </c>
      <c r="E9" s="34">
        <v>14</v>
      </c>
      <c r="F9" s="34" t="s">
        <v>116</v>
      </c>
      <c r="G9" s="34" t="s">
        <v>34</v>
      </c>
      <c r="H9" s="34">
        <v>70</v>
      </c>
      <c r="I9" s="34">
        <v>249</v>
      </c>
      <c r="J9" s="49"/>
      <c r="K9" s="49"/>
      <c r="L9" s="49"/>
      <c r="M9" s="68">
        <f t="shared" ref="M9:M11" si="0">1*0.96+0.4*0.35+1*0.04+0.003*0.5+1.2*0.1</f>
        <v>1.2614999999999998</v>
      </c>
      <c r="N9" s="34"/>
      <c r="O9" s="35"/>
      <c r="P9" s="34"/>
      <c r="Q9" s="35"/>
      <c r="R9" s="37" t="s">
        <v>138</v>
      </c>
      <c r="S9" t="s">
        <v>200</v>
      </c>
      <c r="T9">
        <v>1</v>
      </c>
      <c r="U9" t="s">
        <v>149</v>
      </c>
      <c r="V9" s="6" t="s">
        <v>121</v>
      </c>
      <c r="W9">
        <v>0.4</v>
      </c>
      <c r="X9" t="s">
        <v>132</v>
      </c>
      <c r="Y9" t="s">
        <v>164</v>
      </c>
      <c r="Z9">
        <v>1</v>
      </c>
      <c r="AA9" s="6" t="s">
        <v>134</v>
      </c>
      <c r="AB9" s="65" t="s">
        <v>201</v>
      </c>
      <c r="AC9" s="6">
        <v>3.0000000000000001E-3</v>
      </c>
      <c r="AD9" s="6" t="s">
        <v>189</v>
      </c>
      <c r="AE9" s="6" t="s">
        <v>202</v>
      </c>
      <c r="AF9">
        <v>1.2</v>
      </c>
      <c r="AG9" s="4"/>
      <c r="AJ9" s="4"/>
    </row>
    <row r="10" spans="1:38" x14ac:dyDescent="0.25">
      <c r="A10" s="12"/>
      <c r="B10" s="6" t="s">
        <v>18</v>
      </c>
      <c r="C10" s="18">
        <v>247</v>
      </c>
      <c r="D10" s="51">
        <v>3.5</v>
      </c>
      <c r="E10" s="34">
        <v>14</v>
      </c>
      <c r="F10" s="34" t="s">
        <v>116</v>
      </c>
      <c r="G10" s="34" t="s">
        <v>34</v>
      </c>
      <c r="H10" s="34">
        <v>70</v>
      </c>
      <c r="I10" s="34">
        <v>249</v>
      </c>
      <c r="J10" s="49"/>
      <c r="K10" s="49"/>
      <c r="L10" s="49"/>
      <c r="M10" s="68">
        <f t="shared" si="0"/>
        <v>1.2614999999999998</v>
      </c>
      <c r="N10" s="34"/>
      <c r="O10" s="35"/>
      <c r="P10" s="34"/>
      <c r="Q10" s="35"/>
      <c r="R10" s="37" t="s">
        <v>138</v>
      </c>
      <c r="S10" t="s">
        <v>200</v>
      </c>
      <c r="T10">
        <v>1</v>
      </c>
      <c r="U10" t="s">
        <v>149</v>
      </c>
      <c r="V10" s="6" t="s">
        <v>121</v>
      </c>
      <c r="W10">
        <v>0.4</v>
      </c>
      <c r="X10" t="s">
        <v>132</v>
      </c>
      <c r="Y10" t="s">
        <v>164</v>
      </c>
      <c r="Z10">
        <v>1</v>
      </c>
      <c r="AA10" s="6" t="s">
        <v>134</v>
      </c>
      <c r="AB10" s="65" t="s">
        <v>201</v>
      </c>
      <c r="AC10" s="6">
        <v>3.0000000000000001E-3</v>
      </c>
      <c r="AD10" s="6" t="s">
        <v>189</v>
      </c>
      <c r="AE10" s="6" t="s">
        <v>202</v>
      </c>
      <c r="AF10">
        <v>1.2</v>
      </c>
      <c r="AG10" s="4"/>
      <c r="AJ10" s="4"/>
    </row>
    <row r="11" spans="1:38" x14ac:dyDescent="0.25">
      <c r="A11" s="12"/>
      <c r="B11" s="6" t="s">
        <v>30</v>
      </c>
      <c r="C11" s="18">
        <v>883</v>
      </c>
      <c r="D11" s="51">
        <v>3.5</v>
      </c>
      <c r="E11" s="34">
        <v>14</v>
      </c>
      <c r="F11" s="34" t="s">
        <v>34</v>
      </c>
      <c r="G11" s="34" t="s">
        <v>34</v>
      </c>
      <c r="H11" s="34">
        <v>70</v>
      </c>
      <c r="I11" s="34">
        <v>159</v>
      </c>
      <c r="J11" s="49"/>
      <c r="K11" s="49"/>
      <c r="L11" s="49"/>
      <c r="M11" s="68">
        <f t="shared" si="0"/>
        <v>1.2614999999999998</v>
      </c>
      <c r="N11" s="34"/>
      <c r="O11" s="35"/>
      <c r="P11" s="34"/>
      <c r="Q11" s="35"/>
      <c r="R11" s="37" t="s">
        <v>138</v>
      </c>
      <c r="S11" t="s">
        <v>200</v>
      </c>
      <c r="T11">
        <v>1</v>
      </c>
      <c r="U11" t="s">
        <v>149</v>
      </c>
      <c r="V11" s="6" t="s">
        <v>121</v>
      </c>
      <c r="W11">
        <v>0.4</v>
      </c>
      <c r="X11" t="s">
        <v>132</v>
      </c>
      <c r="Y11" t="s">
        <v>164</v>
      </c>
      <c r="Z11">
        <v>1</v>
      </c>
      <c r="AA11" s="6" t="s">
        <v>134</v>
      </c>
      <c r="AB11" s="65" t="s">
        <v>201</v>
      </c>
      <c r="AC11" s="6">
        <v>3.0000000000000001E-3</v>
      </c>
      <c r="AD11" s="6" t="s">
        <v>189</v>
      </c>
      <c r="AE11" s="6" t="s">
        <v>202</v>
      </c>
      <c r="AF11">
        <v>1.2</v>
      </c>
      <c r="AG11" s="4"/>
      <c r="AJ11" s="4"/>
    </row>
    <row r="12" spans="1:38" x14ac:dyDescent="0.25">
      <c r="A12" s="12"/>
      <c r="B12" s="6" t="s">
        <v>18</v>
      </c>
      <c r="C12" s="18">
        <v>729</v>
      </c>
      <c r="D12" s="51">
        <v>3.5</v>
      </c>
      <c r="E12" s="34">
        <v>14</v>
      </c>
      <c r="F12" s="34" t="s">
        <v>34</v>
      </c>
      <c r="G12" s="34" t="s">
        <v>34</v>
      </c>
      <c r="H12" s="34">
        <v>70</v>
      </c>
      <c r="I12" s="34">
        <v>159</v>
      </c>
      <c r="J12" s="49"/>
      <c r="K12" s="49"/>
      <c r="L12" s="49"/>
      <c r="M12" s="68">
        <f>1*0.96+0.4*0.35+1*0.04+0.003*0.5+1.1*0.1</f>
        <v>1.2515000000000001</v>
      </c>
      <c r="N12" s="34"/>
      <c r="O12" s="35"/>
      <c r="P12" s="34"/>
      <c r="Q12" s="35"/>
      <c r="R12" s="37" t="s">
        <v>138</v>
      </c>
      <c r="S12" t="s">
        <v>200</v>
      </c>
      <c r="T12">
        <v>1</v>
      </c>
      <c r="U12" t="s">
        <v>149</v>
      </c>
      <c r="V12" s="6" t="s">
        <v>121</v>
      </c>
      <c r="W12">
        <v>0.4</v>
      </c>
      <c r="X12" t="s">
        <v>132</v>
      </c>
      <c r="Y12" t="s">
        <v>164</v>
      </c>
      <c r="Z12">
        <v>1</v>
      </c>
      <c r="AA12" s="6" t="s">
        <v>134</v>
      </c>
      <c r="AB12" s="65" t="s">
        <v>201</v>
      </c>
      <c r="AC12" s="6">
        <v>3.0000000000000001E-3</v>
      </c>
      <c r="AD12" s="6" t="s">
        <v>144</v>
      </c>
      <c r="AE12" t="s">
        <v>153</v>
      </c>
      <c r="AF12">
        <v>1.1000000000000001</v>
      </c>
      <c r="AG12" s="4"/>
      <c r="AJ12" s="4"/>
    </row>
    <row r="13" spans="1:38" ht="15.75" thickBot="1" x14ac:dyDescent="0.3">
      <c r="A13" s="16"/>
      <c r="B13" s="14" t="s">
        <v>18</v>
      </c>
      <c r="C13" s="14">
        <v>30</v>
      </c>
      <c r="D13" s="51">
        <v>2.5</v>
      </c>
      <c r="E13" s="34">
        <v>16</v>
      </c>
      <c r="F13" s="34" t="s">
        <v>34</v>
      </c>
      <c r="G13" s="34" t="s">
        <v>34</v>
      </c>
      <c r="H13" s="34">
        <v>90</v>
      </c>
      <c r="I13" s="91">
        <f>100/0.85</f>
        <v>117.64705882352942</v>
      </c>
      <c r="J13" s="49"/>
      <c r="K13" s="49"/>
      <c r="L13" s="49"/>
      <c r="M13" s="68">
        <f>1*0.96+0.6*0.45+0.8*0.04+0.0007*0.5+2*0.2</f>
        <v>1.66235</v>
      </c>
      <c r="N13" s="34"/>
      <c r="O13" s="35"/>
      <c r="P13" s="34"/>
      <c r="Q13" s="35"/>
      <c r="R13" s="40" t="s">
        <v>130</v>
      </c>
      <c r="S13" s="6" t="s">
        <v>17</v>
      </c>
      <c r="T13" s="6" t="s">
        <v>131</v>
      </c>
      <c r="U13" s="6" t="s">
        <v>132</v>
      </c>
      <c r="V13" s="6" t="s">
        <v>17</v>
      </c>
      <c r="W13" s="6" t="s">
        <v>133</v>
      </c>
      <c r="X13" s="6" t="s">
        <v>134</v>
      </c>
      <c r="Y13" s="6" t="s">
        <v>17</v>
      </c>
      <c r="Z13" s="6" t="s">
        <v>135</v>
      </c>
      <c r="AA13" s="6" t="s">
        <v>128</v>
      </c>
      <c r="AB13" s="6" t="s">
        <v>17</v>
      </c>
      <c r="AC13" s="6" t="s">
        <v>89</v>
      </c>
      <c r="AD13" s="4"/>
      <c r="AG13" s="4"/>
      <c r="AJ13" s="4"/>
    </row>
    <row r="14" spans="1:38" x14ac:dyDescent="0.25">
      <c r="A14" s="214" t="s">
        <v>15</v>
      </c>
      <c r="B14" s="10" t="s">
        <v>19</v>
      </c>
      <c r="C14" s="11">
        <v>12</v>
      </c>
      <c r="D14" s="47">
        <v>4</v>
      </c>
      <c r="E14" s="41">
        <v>16</v>
      </c>
      <c r="F14" s="41" t="s">
        <v>116</v>
      </c>
      <c r="G14" s="41" t="s">
        <v>34</v>
      </c>
      <c r="H14" s="41">
        <v>75</v>
      </c>
      <c r="I14" s="41">
        <v>250</v>
      </c>
      <c r="J14" s="41">
        <v>0</v>
      </c>
      <c r="K14" s="41">
        <f>N14*0.2</f>
        <v>80</v>
      </c>
      <c r="L14" s="41">
        <f>N14*0.2</f>
        <v>80</v>
      </c>
      <c r="M14" s="79">
        <f>1.5*0.455+0.8*0.96</f>
        <v>1.4504999999999999</v>
      </c>
      <c r="N14" s="41">
        <v>400</v>
      </c>
      <c r="O14" s="42" t="s">
        <v>136</v>
      </c>
      <c r="P14" s="41"/>
      <c r="Q14" s="41"/>
      <c r="R14" s="43" t="s">
        <v>81</v>
      </c>
      <c r="S14" s="44" t="s">
        <v>137</v>
      </c>
      <c r="T14" s="44">
        <v>1.5</v>
      </c>
      <c r="U14" s="44" t="s">
        <v>138</v>
      </c>
      <c r="V14" s="44" t="s">
        <v>139</v>
      </c>
      <c r="W14" s="44">
        <v>0.8</v>
      </c>
      <c r="X14" s="44"/>
      <c r="Y14" s="44"/>
      <c r="Z14" s="44"/>
      <c r="AA14" s="44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1:38" x14ac:dyDescent="0.25">
      <c r="A15" s="12"/>
      <c r="B15" s="6" t="s">
        <v>21</v>
      </c>
      <c r="C15" s="8">
        <v>12</v>
      </c>
      <c r="D15" s="34">
        <v>4.2</v>
      </c>
      <c r="E15" s="34">
        <v>16</v>
      </c>
      <c r="F15" s="34" t="s">
        <v>116</v>
      </c>
      <c r="G15" s="34" t="s">
        <v>34</v>
      </c>
      <c r="H15" s="34">
        <v>75</v>
      </c>
      <c r="I15" s="34">
        <v>260</v>
      </c>
      <c r="J15" s="34">
        <v>0</v>
      </c>
      <c r="K15" s="34">
        <f>N15*0.2</f>
        <v>80</v>
      </c>
      <c r="L15" s="34">
        <f>N15*0.2</f>
        <v>80</v>
      </c>
      <c r="M15" s="68">
        <f t="shared" ref="M15:M16" si="1">1.5*0.455+0.8*0.96</f>
        <v>1.4504999999999999</v>
      </c>
      <c r="N15" s="34">
        <v>400</v>
      </c>
      <c r="O15" s="35" t="s">
        <v>136</v>
      </c>
      <c r="P15" s="34"/>
      <c r="Q15" s="34"/>
      <c r="R15" s="40" t="s">
        <v>81</v>
      </c>
      <c r="S15" s="6" t="s">
        <v>137</v>
      </c>
      <c r="T15" s="6">
        <v>1.5</v>
      </c>
      <c r="U15" s="6" t="s">
        <v>138</v>
      </c>
      <c r="V15" s="6" t="s">
        <v>139</v>
      </c>
      <c r="W15" s="6">
        <v>0.8</v>
      </c>
      <c r="X15" s="6"/>
      <c r="Y15" s="6"/>
      <c r="Z15" s="6"/>
      <c r="AA15" s="6"/>
      <c r="AB15" s="4"/>
      <c r="AC15" s="4"/>
    </row>
    <row r="16" spans="1:38" x14ac:dyDescent="0.25">
      <c r="A16" s="12"/>
      <c r="B16" s="6" t="s">
        <v>22</v>
      </c>
      <c r="C16" s="8">
        <v>8</v>
      </c>
      <c r="D16" s="34">
        <v>4.4000000000000004</v>
      </c>
      <c r="E16" s="34">
        <v>16</v>
      </c>
      <c r="F16" s="34" t="s">
        <v>116</v>
      </c>
      <c r="G16" s="34" t="s">
        <v>34</v>
      </c>
      <c r="H16" s="34">
        <v>75</v>
      </c>
      <c r="I16" s="53">
        <v>270</v>
      </c>
      <c r="J16" s="34">
        <v>0</v>
      </c>
      <c r="K16" s="34">
        <f>N16*0.2</f>
        <v>80</v>
      </c>
      <c r="L16" s="34">
        <f>N16*0.2</f>
        <v>80</v>
      </c>
      <c r="M16" s="68">
        <f t="shared" si="1"/>
        <v>1.4504999999999999</v>
      </c>
      <c r="N16" s="54">
        <v>400</v>
      </c>
      <c r="O16" s="35" t="s">
        <v>136</v>
      </c>
      <c r="P16" s="36"/>
      <c r="Q16" s="36"/>
      <c r="R16" s="40" t="s">
        <v>81</v>
      </c>
      <c r="S16" s="6" t="s">
        <v>137</v>
      </c>
      <c r="T16" s="6">
        <v>1.5</v>
      </c>
      <c r="U16" s="6" t="s">
        <v>138</v>
      </c>
      <c r="V16" s="6" t="s">
        <v>139</v>
      </c>
      <c r="W16" s="6">
        <v>0.8</v>
      </c>
      <c r="X16" s="4"/>
      <c r="Y16" s="4"/>
      <c r="Z16" s="4"/>
      <c r="AA16" s="4"/>
      <c r="AB16" s="4"/>
      <c r="AC16" s="4"/>
    </row>
    <row r="17" spans="1:45" x14ac:dyDescent="0.25">
      <c r="A17" s="12"/>
      <c r="B17" s="117" t="s">
        <v>21</v>
      </c>
      <c r="C17" s="9" t="s">
        <v>17</v>
      </c>
      <c r="D17" s="34">
        <v>3.5</v>
      </c>
      <c r="E17" s="34">
        <v>16</v>
      </c>
      <c r="F17" s="34" t="s">
        <v>34</v>
      </c>
      <c r="G17" s="34" t="s">
        <v>34</v>
      </c>
      <c r="H17" s="34">
        <v>75</v>
      </c>
      <c r="I17" s="34">
        <v>100</v>
      </c>
      <c r="J17" s="53">
        <f>N17*0.06</f>
        <v>15</v>
      </c>
      <c r="K17" s="53">
        <f>N17*0.12</f>
        <v>30</v>
      </c>
      <c r="L17" s="53">
        <f>N17*0.24</f>
        <v>60</v>
      </c>
      <c r="M17" s="88">
        <f>1.2*0.365+1*0.96+1*0.04+1*0.1</f>
        <v>1.538</v>
      </c>
      <c r="N17" s="34">
        <v>250</v>
      </c>
      <c r="O17" s="55">
        <v>0.25861111111111112</v>
      </c>
      <c r="P17" s="22"/>
      <c r="Q17" s="22"/>
      <c r="R17" s="37" t="s">
        <v>142</v>
      </c>
      <c r="S17" s="6" t="s">
        <v>141</v>
      </c>
      <c r="T17" t="s">
        <v>140</v>
      </c>
      <c r="U17" t="s">
        <v>138</v>
      </c>
      <c r="V17" t="s">
        <v>143</v>
      </c>
      <c r="W17" t="s">
        <v>40</v>
      </c>
      <c r="X17" t="s">
        <v>132</v>
      </c>
      <c r="Y17" t="s">
        <v>145</v>
      </c>
      <c r="Z17" t="s">
        <v>40</v>
      </c>
      <c r="AA17" t="s">
        <v>144</v>
      </c>
      <c r="AB17" t="s">
        <v>153</v>
      </c>
      <c r="AC17" t="s">
        <v>40</v>
      </c>
    </row>
    <row r="18" spans="1:45" x14ac:dyDescent="0.25">
      <c r="A18" s="12"/>
      <c r="B18" s="117" t="s">
        <v>25</v>
      </c>
      <c r="C18" s="9">
        <v>11000</v>
      </c>
      <c r="D18" s="34">
        <v>4.2</v>
      </c>
      <c r="E18" s="34">
        <v>15</v>
      </c>
      <c r="F18" s="34" t="s">
        <v>116</v>
      </c>
      <c r="G18" s="34" t="s">
        <v>34</v>
      </c>
      <c r="H18" s="34">
        <v>70</v>
      </c>
      <c r="I18" s="64" t="s">
        <v>17</v>
      </c>
      <c r="J18" s="70"/>
      <c r="K18" s="70"/>
      <c r="L18" s="70"/>
      <c r="M18" s="88">
        <f>0.95*0.04+0.005*0.5+1.2*0.1</f>
        <v>0.1605</v>
      </c>
      <c r="N18" s="25"/>
      <c r="O18" s="64"/>
      <c r="P18" s="22"/>
      <c r="Q18" s="22"/>
      <c r="R18" s="37" t="s">
        <v>132</v>
      </c>
      <c r="S18" s="6" t="s">
        <v>72</v>
      </c>
      <c r="T18" t="s">
        <v>157</v>
      </c>
      <c r="U18" t="s">
        <v>134</v>
      </c>
      <c r="V18" t="s">
        <v>159</v>
      </c>
      <c r="W18" t="s">
        <v>158</v>
      </c>
      <c r="X18" t="s">
        <v>144</v>
      </c>
      <c r="Y18" t="s">
        <v>153</v>
      </c>
      <c r="Z18" t="s">
        <v>140</v>
      </c>
    </row>
    <row r="19" spans="1:45" x14ac:dyDescent="0.25">
      <c r="A19" s="12"/>
      <c r="B19" s="6" t="s">
        <v>26</v>
      </c>
      <c r="C19" s="9">
        <v>25.36</v>
      </c>
      <c r="D19" s="34">
        <v>3.6</v>
      </c>
      <c r="E19" s="34">
        <v>15</v>
      </c>
      <c r="F19" s="34" t="s">
        <v>34</v>
      </c>
      <c r="G19" s="34" t="s">
        <v>34</v>
      </c>
      <c r="H19" s="34">
        <v>80</v>
      </c>
      <c r="I19" s="34">
        <v>160</v>
      </c>
      <c r="J19" s="53">
        <v>0</v>
      </c>
      <c r="K19" s="71">
        <f>N19*0.13</f>
        <v>39.910000000000004</v>
      </c>
      <c r="L19" s="53">
        <v>0</v>
      </c>
      <c r="M19" s="88">
        <f>1.1*0.96+0.63*0.45+0.83*0.04+0.0082*0.5+0.39*0.125+0.41*0.1+0.83*0.57</f>
        <v>1.9396499999999999</v>
      </c>
      <c r="N19" s="34">
        <v>307</v>
      </c>
      <c r="O19" s="55">
        <v>9.0277777777777787E-3</v>
      </c>
      <c r="P19" s="22"/>
      <c r="Q19" s="22"/>
      <c r="R19" s="37" t="s">
        <v>37</v>
      </c>
      <c r="S19" t="s">
        <v>160</v>
      </c>
      <c r="T19" t="s">
        <v>161</v>
      </c>
      <c r="U19" t="s">
        <v>123</v>
      </c>
      <c r="V19" t="s">
        <v>162</v>
      </c>
      <c r="W19" t="s">
        <v>163</v>
      </c>
      <c r="X19" t="s">
        <v>132</v>
      </c>
      <c r="Y19" t="s">
        <v>164</v>
      </c>
      <c r="Z19" t="s">
        <v>165</v>
      </c>
      <c r="AA19" s="65" t="s">
        <v>168</v>
      </c>
      <c r="AB19" s="65" t="s">
        <v>166</v>
      </c>
      <c r="AC19" t="s">
        <v>167</v>
      </c>
      <c r="AD19" t="s">
        <v>169</v>
      </c>
      <c r="AE19" t="s">
        <v>170</v>
      </c>
      <c r="AF19" t="s">
        <v>171</v>
      </c>
      <c r="AG19" t="s">
        <v>172</v>
      </c>
      <c r="AH19" t="s">
        <v>173</v>
      </c>
      <c r="AI19" t="s">
        <v>174</v>
      </c>
      <c r="AJ19" t="s">
        <v>175</v>
      </c>
      <c r="AK19" t="s">
        <v>176</v>
      </c>
      <c r="AL19" t="s">
        <v>165</v>
      </c>
    </row>
    <row r="20" spans="1:45" x14ac:dyDescent="0.25">
      <c r="A20" s="12"/>
      <c r="B20" s="6" t="s">
        <v>27</v>
      </c>
      <c r="C20" s="9">
        <v>130</v>
      </c>
      <c r="D20" s="34">
        <v>3.5</v>
      </c>
      <c r="E20" s="34">
        <v>14</v>
      </c>
      <c r="F20" s="34" t="s">
        <v>116</v>
      </c>
      <c r="G20" s="34" t="s">
        <v>34</v>
      </c>
      <c r="H20" s="34">
        <v>85</v>
      </c>
      <c r="I20" s="34">
        <v>150</v>
      </c>
      <c r="J20" s="53">
        <f>N20*0.18</f>
        <v>45</v>
      </c>
      <c r="K20" s="53">
        <f>N20*0.46</f>
        <v>115</v>
      </c>
      <c r="L20" s="53">
        <v>0</v>
      </c>
      <c r="M20" s="88">
        <f>3*0.36+1.8*0.5024+1*0.345</f>
        <v>2.3293200000000001</v>
      </c>
      <c r="N20" s="49">
        <v>250</v>
      </c>
      <c r="O20" s="55">
        <v>0.78194444444444444</v>
      </c>
      <c r="P20" s="22"/>
      <c r="Q20" s="22"/>
      <c r="R20" s="37" t="s">
        <v>177</v>
      </c>
      <c r="S20" t="s">
        <v>178</v>
      </c>
      <c r="T20">
        <v>3</v>
      </c>
      <c r="U20" t="s">
        <v>125</v>
      </c>
      <c r="V20" t="s">
        <v>180</v>
      </c>
      <c r="W20">
        <v>1.8</v>
      </c>
      <c r="X20" t="s">
        <v>181</v>
      </c>
      <c r="Y20" t="s">
        <v>182</v>
      </c>
      <c r="Z20">
        <v>1</v>
      </c>
    </row>
    <row r="21" spans="1:45" x14ac:dyDescent="0.25">
      <c r="A21" s="12"/>
      <c r="B21" s="6" t="s">
        <v>27</v>
      </c>
      <c r="C21" s="9">
        <v>24000</v>
      </c>
      <c r="D21" s="34">
        <v>4</v>
      </c>
      <c r="E21" s="34">
        <v>14</v>
      </c>
      <c r="F21" s="34" t="s">
        <v>34</v>
      </c>
      <c r="G21" s="34" t="s">
        <v>34</v>
      </c>
      <c r="H21" s="34">
        <v>85</v>
      </c>
      <c r="I21" s="64" t="s">
        <v>17</v>
      </c>
      <c r="J21" s="53">
        <f>N21*0.08</f>
        <v>32</v>
      </c>
      <c r="K21" s="53">
        <f>N21*0.24</f>
        <v>96</v>
      </c>
      <c r="L21" s="71">
        <f>N21*0.24</f>
        <v>96</v>
      </c>
      <c r="M21" s="88">
        <f>1.75*0.04+0.009*0.5+1.9*0.5024+1*0.1</f>
        <v>1.12906</v>
      </c>
      <c r="N21" s="53">
        <v>400</v>
      </c>
      <c r="O21" s="55">
        <v>0.35027777777777774</v>
      </c>
      <c r="P21" s="22">
        <v>300</v>
      </c>
      <c r="Q21" s="22" t="s">
        <v>183</v>
      </c>
      <c r="R21" s="37" t="s">
        <v>132</v>
      </c>
      <c r="S21" s="6" t="s">
        <v>184</v>
      </c>
      <c r="T21" s="6" t="s">
        <v>186</v>
      </c>
      <c r="U21" t="s">
        <v>134</v>
      </c>
      <c r="V21" t="s">
        <v>185</v>
      </c>
      <c r="W21" t="s">
        <v>187</v>
      </c>
      <c r="X21" t="s">
        <v>125</v>
      </c>
      <c r="Y21" t="s">
        <v>188</v>
      </c>
      <c r="Z21" t="s">
        <v>127</v>
      </c>
      <c r="AA21" t="s">
        <v>189</v>
      </c>
      <c r="AB21" t="s">
        <v>190</v>
      </c>
      <c r="AC21" t="s">
        <v>191</v>
      </c>
    </row>
    <row r="22" spans="1:45" s="127" customFormat="1" x14ac:dyDescent="0.25">
      <c r="A22" s="124"/>
      <c r="B22" s="158" t="s">
        <v>28</v>
      </c>
      <c r="C22" s="165">
        <v>35000</v>
      </c>
      <c r="D22" s="159">
        <v>3</v>
      </c>
      <c r="E22" s="160">
        <v>15</v>
      </c>
      <c r="F22" s="164">
        <v>0.5</v>
      </c>
      <c r="G22" s="160" t="s">
        <v>34</v>
      </c>
      <c r="H22" s="160">
        <v>75</v>
      </c>
      <c r="I22" s="160">
        <v>150</v>
      </c>
      <c r="J22" s="161">
        <f>N22*0.08</f>
        <v>24</v>
      </c>
      <c r="K22" s="161">
        <f>N22*0.24</f>
        <v>72</v>
      </c>
      <c r="L22" s="161">
        <f>N22*0.24</f>
        <v>72</v>
      </c>
      <c r="M22" s="162">
        <f>1*0.96+1*0.455+0.3*0.35+1*0.48+0.7*0.04+0.008*0.5+1.9*0.5024</f>
        <v>2.9865599999999999</v>
      </c>
      <c r="N22" s="161">
        <v>300</v>
      </c>
      <c r="O22" s="163">
        <v>0.35027777777777774</v>
      </c>
      <c r="P22" s="114"/>
      <c r="Q22" s="114"/>
      <c r="R22" s="126"/>
      <c r="S22" s="127" t="s">
        <v>192</v>
      </c>
      <c r="T22" s="127">
        <v>1</v>
      </c>
      <c r="V22" s="117" t="s">
        <v>82</v>
      </c>
      <c r="W22" s="127">
        <v>1</v>
      </c>
      <c r="Y22" s="127" t="s">
        <v>150</v>
      </c>
      <c r="Z22" s="127">
        <v>0.3</v>
      </c>
      <c r="AB22" s="127" t="s">
        <v>193</v>
      </c>
      <c r="AC22" s="127">
        <v>1</v>
      </c>
      <c r="AD22" s="127" t="s">
        <v>132</v>
      </c>
      <c r="AF22" s="127">
        <v>0.7</v>
      </c>
      <c r="AG22" s="127" t="s">
        <v>134</v>
      </c>
      <c r="AI22" s="127">
        <v>0.08</v>
      </c>
      <c r="AJ22" s="127" t="s">
        <v>125</v>
      </c>
      <c r="AL22" s="127">
        <v>1.9</v>
      </c>
    </row>
    <row r="23" spans="1:45" x14ac:dyDescent="0.25">
      <c r="A23" s="12"/>
      <c r="B23" s="6" t="s">
        <v>27</v>
      </c>
      <c r="C23" s="9">
        <v>55</v>
      </c>
      <c r="D23" s="34">
        <v>3.9</v>
      </c>
      <c r="E23" s="34">
        <v>15.7</v>
      </c>
      <c r="F23" s="34" t="s">
        <v>116</v>
      </c>
      <c r="G23" s="34" t="s">
        <v>34</v>
      </c>
      <c r="H23" s="34">
        <v>75</v>
      </c>
      <c r="I23" s="34">
        <v>165</v>
      </c>
      <c r="J23" s="53">
        <f>N23*0.18</f>
        <v>45</v>
      </c>
      <c r="K23" s="53">
        <f>N23*0.46</f>
        <v>115</v>
      </c>
      <c r="L23" s="53">
        <v>0</v>
      </c>
      <c r="M23" s="88">
        <f>1.2*0.96+1*0.45+1.5*0.2</f>
        <v>1.9019999999999999</v>
      </c>
      <c r="N23" s="22">
        <v>250</v>
      </c>
      <c r="O23" s="55">
        <v>0.78194444444444444</v>
      </c>
      <c r="P23" s="22"/>
      <c r="Q23" s="22"/>
      <c r="R23" s="37" t="s">
        <v>37</v>
      </c>
      <c r="S23" s="4"/>
      <c r="T23">
        <v>1.2</v>
      </c>
      <c r="U23" t="s">
        <v>123</v>
      </c>
      <c r="W23">
        <v>1</v>
      </c>
      <c r="X23" t="s">
        <v>128</v>
      </c>
      <c r="Z23">
        <v>1.5</v>
      </c>
    </row>
    <row r="24" spans="1:45" ht="15.75" thickBot="1" x14ac:dyDescent="0.3">
      <c r="A24" s="156"/>
      <c r="B24" s="14" t="s">
        <v>313</v>
      </c>
      <c r="C24" s="15">
        <v>1000</v>
      </c>
      <c r="D24" s="34">
        <v>3.5</v>
      </c>
      <c r="E24" s="34">
        <v>14</v>
      </c>
      <c r="F24" s="34" t="s">
        <v>116</v>
      </c>
      <c r="G24" s="34" t="s">
        <v>34</v>
      </c>
      <c r="H24" s="34">
        <v>75</v>
      </c>
      <c r="I24" s="34">
        <v>250</v>
      </c>
      <c r="J24" s="53">
        <v>0</v>
      </c>
      <c r="K24" s="53">
        <f>N24*0.46</f>
        <v>92</v>
      </c>
      <c r="L24" s="53">
        <v>0</v>
      </c>
      <c r="M24" s="88">
        <f>1.7*0.68+0.8*0.96+1.2*0.455+1*0.04+0.007*0.5</f>
        <v>2.5135000000000001</v>
      </c>
      <c r="N24" s="22">
        <v>200</v>
      </c>
      <c r="O24" s="55">
        <v>3.1944444444444449E-2</v>
      </c>
      <c r="P24" s="22"/>
      <c r="Q24" s="22"/>
      <c r="R24" s="37" t="s">
        <v>96</v>
      </c>
      <c r="S24" s="4" t="s">
        <v>36</v>
      </c>
      <c r="T24" t="s">
        <v>314</v>
      </c>
      <c r="U24" s="83" t="s">
        <v>37</v>
      </c>
      <c r="V24" t="s">
        <v>160</v>
      </c>
      <c r="W24" t="s">
        <v>133</v>
      </c>
      <c r="X24" t="s">
        <v>203</v>
      </c>
      <c r="Y24" s="6" t="s">
        <v>137</v>
      </c>
      <c r="Z24" t="s">
        <v>140</v>
      </c>
      <c r="AA24" t="s">
        <v>132</v>
      </c>
      <c r="AB24" t="s">
        <v>145</v>
      </c>
      <c r="AC24" t="s">
        <v>40</v>
      </c>
      <c r="AD24" s="6" t="s">
        <v>134</v>
      </c>
      <c r="AE24" s="65" t="s">
        <v>201</v>
      </c>
      <c r="AF24" s="6">
        <v>7.0000000000000001E-3</v>
      </c>
      <c r="AG24" s="6" t="s">
        <v>315</v>
      </c>
    </row>
    <row r="25" spans="1:45" x14ac:dyDescent="0.25">
      <c r="A25" s="214" t="s">
        <v>23</v>
      </c>
      <c r="B25" s="10" t="s">
        <v>24</v>
      </c>
      <c r="C25" s="11">
        <v>11000</v>
      </c>
      <c r="D25" s="56">
        <v>4</v>
      </c>
      <c r="E25" s="57">
        <v>14</v>
      </c>
      <c r="F25" s="57" t="s">
        <v>116</v>
      </c>
      <c r="G25" s="57" t="s">
        <v>34</v>
      </c>
      <c r="H25" s="57">
        <v>80</v>
      </c>
      <c r="I25" s="57">
        <v>170</v>
      </c>
      <c r="J25" s="57">
        <f>P25*0.18</f>
        <v>18</v>
      </c>
      <c r="K25" s="57">
        <f>N25*0.46+P25*0.46</f>
        <v>92</v>
      </c>
      <c r="L25" s="57">
        <v>0</v>
      </c>
      <c r="M25" s="85">
        <f>2*0.96+0.4*0.36+0.7*0.35+1.2*0.1+1*0.04+0.005*0.5</f>
        <v>2.4715000000000003</v>
      </c>
      <c r="N25" s="57">
        <v>100</v>
      </c>
      <c r="O25" s="58">
        <v>3.1944444444444449E-2</v>
      </c>
      <c r="P25" s="57">
        <v>100</v>
      </c>
      <c r="Q25" s="58">
        <v>0.78194444444444444</v>
      </c>
      <c r="R25" s="59" t="s">
        <v>37</v>
      </c>
      <c r="S25" s="31" t="s">
        <v>146</v>
      </c>
      <c r="T25" s="60" t="s">
        <v>89</v>
      </c>
      <c r="U25" s="60" t="s">
        <v>118</v>
      </c>
      <c r="V25" s="60" t="s">
        <v>147</v>
      </c>
      <c r="W25" s="60" t="s">
        <v>148</v>
      </c>
      <c r="X25" s="60" t="s">
        <v>149</v>
      </c>
      <c r="Y25" s="60" t="s">
        <v>150</v>
      </c>
      <c r="Z25" s="60" t="s">
        <v>151</v>
      </c>
      <c r="AA25" s="60" t="s">
        <v>144</v>
      </c>
      <c r="AB25" s="31" t="s">
        <v>152</v>
      </c>
      <c r="AC25" s="60">
        <v>1.2</v>
      </c>
      <c r="AD25" s="60" t="s">
        <v>132</v>
      </c>
      <c r="AE25" s="31" t="s">
        <v>72</v>
      </c>
      <c r="AF25" s="60" t="s">
        <v>40</v>
      </c>
      <c r="AG25" s="60" t="s">
        <v>134</v>
      </c>
      <c r="AH25" s="60" t="s">
        <v>154</v>
      </c>
      <c r="AI25" s="60" t="s">
        <v>155</v>
      </c>
      <c r="AJ25" s="60" t="s">
        <v>156</v>
      </c>
      <c r="AK25" s="60" t="s">
        <v>17</v>
      </c>
      <c r="AL25" s="63" t="s">
        <v>17</v>
      </c>
    </row>
    <row r="26" spans="1:45" ht="15.75" thickBot="1" x14ac:dyDescent="0.3">
      <c r="A26" s="157"/>
      <c r="B26" s="14" t="s">
        <v>354</v>
      </c>
      <c r="C26" s="17">
        <v>10000</v>
      </c>
      <c r="D26" s="137">
        <v>4.2</v>
      </c>
      <c r="E26" s="138">
        <v>17.5</v>
      </c>
      <c r="F26" s="138" t="s">
        <v>116</v>
      </c>
      <c r="G26" s="138" t="s">
        <v>34</v>
      </c>
      <c r="H26" s="138">
        <v>75</v>
      </c>
      <c r="I26" s="138">
        <v>130</v>
      </c>
      <c r="J26" s="143"/>
      <c r="K26" s="143"/>
      <c r="L26" s="143"/>
      <c r="M26" s="144"/>
      <c r="N26" s="138"/>
      <c r="O26" s="139">
        <v>0.63559027777777777</v>
      </c>
      <c r="P26" s="138"/>
      <c r="Q26" s="139"/>
      <c r="R26" s="140" t="s">
        <v>132</v>
      </c>
      <c r="S26" s="83" t="s">
        <v>72</v>
      </c>
      <c r="T26" s="141"/>
      <c r="U26" s="141" t="s">
        <v>134</v>
      </c>
      <c r="V26" s="141" t="s">
        <v>154</v>
      </c>
      <c r="W26" s="141"/>
      <c r="X26" s="141"/>
      <c r="Y26" s="141"/>
      <c r="Z26" s="141"/>
      <c r="AA26" s="141"/>
      <c r="AB26" s="83"/>
      <c r="AC26" s="141"/>
      <c r="AD26" s="141"/>
      <c r="AE26" s="83"/>
      <c r="AF26" s="141"/>
      <c r="AG26" s="141"/>
      <c r="AH26" s="141"/>
      <c r="AI26" s="141"/>
      <c r="AJ26" s="141"/>
      <c r="AK26" s="141"/>
      <c r="AL26" s="142"/>
    </row>
    <row r="27" spans="1:45" x14ac:dyDescent="0.25">
      <c r="A27" s="215" t="s">
        <v>316</v>
      </c>
      <c r="B27" s="6" t="s">
        <v>317</v>
      </c>
      <c r="C27" s="9">
        <v>125</v>
      </c>
      <c r="D27" s="34">
        <v>4</v>
      </c>
      <c r="E27" s="34">
        <v>15.5</v>
      </c>
      <c r="F27" s="34" t="s">
        <v>34</v>
      </c>
      <c r="G27" s="34" t="s">
        <v>34</v>
      </c>
      <c r="H27" s="34">
        <v>95</v>
      </c>
      <c r="I27" s="34">
        <v>270</v>
      </c>
      <c r="J27" s="22">
        <f>P27*0.46</f>
        <v>23</v>
      </c>
      <c r="K27" s="22">
        <f>N27*0.21</f>
        <v>63</v>
      </c>
      <c r="L27" s="22">
        <f>N27*0.11</f>
        <v>33</v>
      </c>
      <c r="M27" s="72">
        <f>T27*0.36+1*0.04+0.01*0.5+0.5*0.087+2*0.109</f>
        <v>1.3865000000000001</v>
      </c>
      <c r="N27" s="22">
        <v>300</v>
      </c>
      <c r="O27" s="55">
        <v>1.4710648148148148E-2</v>
      </c>
      <c r="P27" s="22">
        <v>50</v>
      </c>
      <c r="Q27" s="135" t="s">
        <v>318</v>
      </c>
      <c r="R27" s="62" t="s">
        <v>319</v>
      </c>
      <c r="S27" s="61" t="s">
        <v>320</v>
      </c>
      <c r="T27" s="61">
        <v>3</v>
      </c>
      <c r="U27" s="61" t="s">
        <v>132</v>
      </c>
      <c r="V27" s="61" t="s">
        <v>321</v>
      </c>
      <c r="W27" s="61">
        <v>1</v>
      </c>
      <c r="X27" s="61" t="s">
        <v>322</v>
      </c>
      <c r="Y27" s="61" t="s">
        <v>323</v>
      </c>
      <c r="Z27" s="61" t="s">
        <v>324</v>
      </c>
      <c r="AA27" s="61" t="s">
        <v>325</v>
      </c>
      <c r="AB27" s="61" t="s">
        <v>326</v>
      </c>
      <c r="AC27" s="61" t="s">
        <v>327</v>
      </c>
      <c r="AD27" s="61" t="s">
        <v>189</v>
      </c>
      <c r="AE27" s="61" t="s">
        <v>328</v>
      </c>
      <c r="AF27" s="61">
        <v>2</v>
      </c>
      <c r="AG27" s="6" t="s">
        <v>315</v>
      </c>
      <c r="AH27" s="61"/>
      <c r="AI27" s="61"/>
      <c r="AJ27" s="61"/>
      <c r="AK27" s="61"/>
    </row>
    <row r="28" spans="1:45" x14ac:dyDescent="0.25">
      <c r="A28" s="148"/>
      <c r="B28" s="6" t="s">
        <v>329</v>
      </c>
      <c r="C28" s="9">
        <v>2000</v>
      </c>
      <c r="D28" s="34">
        <v>3.5</v>
      </c>
      <c r="E28" s="34">
        <v>15</v>
      </c>
      <c r="F28" s="34" t="s">
        <v>34</v>
      </c>
      <c r="G28" s="34" t="s">
        <v>34</v>
      </c>
      <c r="H28" s="34">
        <v>77.5</v>
      </c>
      <c r="I28" s="34">
        <v>150</v>
      </c>
      <c r="J28" s="34">
        <v>0</v>
      </c>
      <c r="K28" s="53">
        <f>N28*0.19+P28*0.46</f>
        <v>189</v>
      </c>
      <c r="L28" s="136">
        <v>0</v>
      </c>
      <c r="M28" s="88">
        <f>4*0.36+1.1*0.96+0.4*0.36+0.2*0.035+1*0.04+0.008*0.5+0.75*0.0087+3.25*0.1</f>
        <v>3.0225250000000004</v>
      </c>
      <c r="N28" s="22">
        <v>450</v>
      </c>
      <c r="O28" s="55">
        <v>1.3194444444444444E-2</v>
      </c>
      <c r="P28" s="53">
        <v>225</v>
      </c>
      <c r="Q28" s="55">
        <v>3.1944444444444449E-2</v>
      </c>
      <c r="R28" s="62" t="s">
        <v>330</v>
      </c>
      <c r="S28" s="61" t="s">
        <v>353</v>
      </c>
      <c r="T28" s="61" t="s">
        <v>331</v>
      </c>
      <c r="U28" s="61" t="s">
        <v>332</v>
      </c>
      <c r="V28" s="61" t="s">
        <v>333</v>
      </c>
      <c r="W28" s="61" t="s">
        <v>334</v>
      </c>
      <c r="X28" s="61" t="s">
        <v>335</v>
      </c>
      <c r="Y28" s="61" t="s">
        <v>336</v>
      </c>
      <c r="Z28" s="61" t="s">
        <v>337</v>
      </c>
      <c r="AA28" s="61" t="s">
        <v>338</v>
      </c>
      <c r="AB28" s="61" t="s">
        <v>339</v>
      </c>
      <c r="AC28" s="61" t="s">
        <v>340</v>
      </c>
      <c r="AD28" s="61" t="s">
        <v>341</v>
      </c>
      <c r="AE28" s="61" t="s">
        <v>342</v>
      </c>
      <c r="AF28" s="61" t="s">
        <v>343</v>
      </c>
      <c r="AG28" s="61" t="s">
        <v>344</v>
      </c>
      <c r="AH28" s="61" t="s">
        <v>345</v>
      </c>
      <c r="AI28" s="61" t="s">
        <v>346</v>
      </c>
      <c r="AJ28" s="61" t="s">
        <v>347</v>
      </c>
      <c r="AK28" s="61" t="s">
        <v>348</v>
      </c>
      <c r="AL28" t="s">
        <v>349</v>
      </c>
      <c r="AM28" t="s">
        <v>350</v>
      </c>
      <c r="AN28" t="s">
        <v>351</v>
      </c>
      <c r="AO28" t="s">
        <v>352</v>
      </c>
      <c r="AP28" s="6" t="s">
        <v>315</v>
      </c>
    </row>
    <row r="29" spans="1:45" ht="15.75" thickBot="1" x14ac:dyDescent="0.3">
      <c r="A29" s="157"/>
      <c r="B29" s="14" t="s">
        <v>364</v>
      </c>
      <c r="C29" s="15">
        <v>9000</v>
      </c>
      <c r="D29" s="34">
        <v>3.15</v>
      </c>
      <c r="E29" s="34">
        <v>15</v>
      </c>
      <c r="F29" s="34" t="s">
        <v>365</v>
      </c>
      <c r="G29" s="34" t="s">
        <v>34</v>
      </c>
      <c r="H29" s="34">
        <v>70</v>
      </c>
      <c r="I29" s="34">
        <v>126</v>
      </c>
      <c r="J29" s="34">
        <f>P29*0.46</f>
        <v>23</v>
      </c>
      <c r="K29" s="53">
        <f>N29*0.46</f>
        <v>92</v>
      </c>
      <c r="L29" s="136">
        <v>0</v>
      </c>
      <c r="M29" s="88">
        <f>2*0.45+1*0.04+0.007*0.5+1.5*0.1</f>
        <v>1.0935000000000001</v>
      </c>
      <c r="N29" s="22">
        <v>200</v>
      </c>
      <c r="O29" s="55">
        <v>3.1944444444444449E-2</v>
      </c>
      <c r="P29" s="53">
        <v>50</v>
      </c>
      <c r="Q29" s="135" t="s">
        <v>318</v>
      </c>
      <c r="R29" s="140" t="s">
        <v>366</v>
      </c>
      <c r="S29" s="141" t="s">
        <v>367</v>
      </c>
      <c r="T29" s="61" t="s">
        <v>368</v>
      </c>
      <c r="U29" t="s">
        <v>132</v>
      </c>
      <c r="V29" t="s">
        <v>164</v>
      </c>
      <c r="W29" t="s">
        <v>40</v>
      </c>
      <c r="X29" t="s">
        <v>134</v>
      </c>
      <c r="Y29" t="s">
        <v>370</v>
      </c>
      <c r="Z29" t="s">
        <v>369</v>
      </c>
      <c r="AA29" t="s">
        <v>144</v>
      </c>
      <c r="AB29" t="s">
        <v>153</v>
      </c>
      <c r="AC29" t="s">
        <v>48</v>
      </c>
      <c r="AD29" s="61"/>
      <c r="AE29" s="61"/>
      <c r="AF29" s="61"/>
      <c r="AG29" s="61"/>
      <c r="AH29" s="61"/>
      <c r="AI29" s="61"/>
      <c r="AJ29" s="61"/>
      <c r="AK29" s="61"/>
      <c r="AP29" s="6"/>
    </row>
    <row r="30" spans="1:45" x14ac:dyDescent="0.25">
      <c r="A30" s="90" t="s">
        <v>385</v>
      </c>
      <c r="B30" s="6" t="s">
        <v>384</v>
      </c>
      <c r="C30" s="77">
        <v>3000</v>
      </c>
      <c r="D30" s="52">
        <v>4.0999999999999996</v>
      </c>
      <c r="E30" s="41">
        <v>16.5</v>
      </c>
      <c r="F30" s="41" t="s">
        <v>116</v>
      </c>
      <c r="G30" s="41" t="s">
        <v>34</v>
      </c>
      <c r="H30" s="41">
        <v>75</v>
      </c>
      <c r="I30" s="41">
        <v>100</v>
      </c>
      <c r="J30" s="41">
        <f>N30*0.05</f>
        <v>15</v>
      </c>
      <c r="K30" s="57">
        <f>N30*0.15</f>
        <v>45</v>
      </c>
      <c r="L30" s="198">
        <f>N30*0.3</f>
        <v>90</v>
      </c>
      <c r="M30" s="85">
        <f>1*0.5+1.5*0.365</f>
        <v>1.0474999999999999</v>
      </c>
      <c r="N30" s="120">
        <v>300</v>
      </c>
      <c r="O30" s="58">
        <v>0.21909722222222225</v>
      </c>
      <c r="P30" s="57"/>
      <c r="Q30" s="199"/>
      <c r="R30" s="40" t="s">
        <v>102</v>
      </c>
      <c r="S30" s="6" t="s">
        <v>108</v>
      </c>
      <c r="T30" s="60" t="s">
        <v>40</v>
      </c>
      <c r="U30" s="31" t="s">
        <v>142</v>
      </c>
      <c r="V30" s="31" t="s">
        <v>386</v>
      </c>
      <c r="W30" s="31" t="s">
        <v>48</v>
      </c>
      <c r="X30" s="31"/>
      <c r="Y30" s="31"/>
      <c r="Z30" s="31"/>
      <c r="AA30" s="31"/>
      <c r="AB30" s="31"/>
      <c r="AC30" s="31"/>
      <c r="AD30" s="60"/>
      <c r="AE30" s="60"/>
      <c r="AF30" s="60"/>
      <c r="AG30" s="60"/>
      <c r="AH30" s="60"/>
      <c r="AI30" s="60"/>
      <c r="AJ30" s="60"/>
      <c r="AK30" s="60"/>
      <c r="AL30" s="31"/>
      <c r="AM30" s="31"/>
      <c r="AN30" s="31"/>
      <c r="AO30" s="31"/>
      <c r="AP30" s="44"/>
      <c r="AQ30" s="31"/>
      <c r="AR30" s="31"/>
      <c r="AS30" s="31"/>
    </row>
    <row r="31" spans="1:45" x14ac:dyDescent="0.25">
      <c r="A31" s="13"/>
      <c r="B31" s="6"/>
      <c r="C31" s="6"/>
      <c r="D31" s="34"/>
      <c r="E31" s="34"/>
      <c r="F31" s="34"/>
      <c r="G31" s="34"/>
      <c r="H31" s="34"/>
      <c r="I31" s="34"/>
      <c r="J31" s="34"/>
      <c r="K31" s="53"/>
      <c r="L31" s="136"/>
      <c r="M31" s="88"/>
      <c r="N31" s="22"/>
      <c r="O31" s="55"/>
      <c r="P31" s="53"/>
      <c r="Q31" s="135"/>
      <c r="R31" s="62"/>
      <c r="S31" s="61"/>
      <c r="T31" s="61"/>
      <c r="AD31" s="61"/>
      <c r="AE31" s="61"/>
      <c r="AF31" s="61"/>
      <c r="AG31" s="61"/>
      <c r="AH31" s="61"/>
      <c r="AI31" s="61"/>
      <c r="AJ31" s="61"/>
      <c r="AK31" s="61"/>
      <c r="AP31" s="6"/>
    </row>
    <row r="32" spans="1:45" x14ac:dyDescent="0.25">
      <c r="A32" s="13"/>
      <c r="B32" s="6"/>
      <c r="C32" s="6"/>
      <c r="D32" s="34"/>
      <c r="E32" s="34"/>
      <c r="F32" s="34"/>
      <c r="G32" s="34"/>
      <c r="H32" s="34"/>
      <c r="I32" s="34"/>
      <c r="J32" s="34"/>
      <c r="K32" s="53"/>
      <c r="L32" s="136"/>
      <c r="M32" s="88"/>
      <c r="N32" s="22"/>
      <c r="O32" s="55"/>
      <c r="P32" s="53"/>
      <c r="Q32" s="135"/>
      <c r="R32" s="62"/>
      <c r="S32" s="61"/>
      <c r="T32" s="61"/>
      <c r="AD32" s="61"/>
      <c r="AE32" s="61"/>
      <c r="AF32" s="61"/>
      <c r="AG32" s="61"/>
      <c r="AH32" s="61"/>
      <c r="AI32" s="61"/>
      <c r="AJ32" s="61"/>
      <c r="AK32" s="61"/>
      <c r="AP32" s="6"/>
    </row>
    <row r="33" spans="1:37" ht="15.75" thickBot="1" x14ac:dyDescent="0.3">
      <c r="A33" s="6"/>
      <c r="B33" s="6"/>
      <c r="C33" s="6"/>
      <c r="R33" s="62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1:37" ht="15.75" thickBot="1" x14ac:dyDescent="0.3">
      <c r="A34" s="6"/>
      <c r="B34" s="6"/>
      <c r="C34" s="18"/>
      <c r="D34" s="53" t="s">
        <v>248</v>
      </c>
      <c r="E34" s="53" t="s">
        <v>249</v>
      </c>
      <c r="F34" s="53" t="s">
        <v>250</v>
      </c>
      <c r="G34" s="53" t="s">
        <v>251</v>
      </c>
      <c r="H34" s="53" t="s">
        <v>252</v>
      </c>
      <c r="I34" s="53" t="s">
        <v>253</v>
      </c>
      <c r="J34" s="53" t="s">
        <v>205</v>
      </c>
      <c r="K34" s="53" t="s">
        <v>205</v>
      </c>
      <c r="O34" t="s">
        <v>210</v>
      </c>
      <c r="P34" t="s">
        <v>209</v>
      </c>
      <c r="Q34">
        <v>74.55</v>
      </c>
      <c r="R34" s="20" t="s">
        <v>215</v>
      </c>
      <c r="S34" s="74"/>
      <c r="T34" s="75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ht="15.75" thickBot="1" x14ac:dyDescent="0.3">
      <c r="A35" s="90" t="s">
        <v>488</v>
      </c>
      <c r="B35" s="6"/>
      <c r="C35" s="6"/>
      <c r="D35" s="53" t="s">
        <v>489</v>
      </c>
      <c r="E35" s="53" t="s">
        <v>490</v>
      </c>
      <c r="F35" s="53" t="s">
        <v>281</v>
      </c>
      <c r="G35" s="53" t="s">
        <v>491</v>
      </c>
      <c r="H35" s="53" t="s">
        <v>492</v>
      </c>
      <c r="I35" s="53" t="s">
        <v>493</v>
      </c>
      <c r="J35" s="53" t="s">
        <v>494</v>
      </c>
      <c r="K35" s="53" t="s">
        <v>495</v>
      </c>
      <c r="O35" t="s">
        <v>210</v>
      </c>
      <c r="P35" t="s">
        <v>211</v>
      </c>
      <c r="Q35">
        <v>39.1</v>
      </c>
      <c r="R35" s="86" t="s">
        <v>118</v>
      </c>
      <c r="S35" s="44" t="s">
        <v>237</v>
      </c>
      <c r="T35" s="87" t="s">
        <v>236</v>
      </c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ht="15.75" thickBot="1" x14ac:dyDescent="0.3">
      <c r="A36" s="208" t="s">
        <v>271</v>
      </c>
      <c r="B36" s="64"/>
      <c r="C36" s="64"/>
      <c r="D36" s="94">
        <f>(D4*$C$4+D5*$C$5+D6*$C$6+D7*$C$7+D8*$C$8+D9*$C$9+D10*$C$10+D11*$C$11+D12*$C$12+D13*$C$13)/SUM($C$4:$C$13)</f>
        <v>3.4473844076949041</v>
      </c>
      <c r="E36" s="92">
        <f t="shared" ref="E36" si="2">(E4*$C$4+E5*$C$5+E6*$C$6+E7*$C$7+E8*$C$8+E9*$C$9+E10*$C$10+E11*$C$11+E12*$C$12+E13*$C$13)/SUM($C$4:$C$13)</f>
        <v>14.010124873439082</v>
      </c>
      <c r="F36" s="92">
        <f>((I4*$C$4+I5*$C$5+I6*$C$6+I7*$C$7+I8*$C$8+I9*$C$9+I10*$C$10+I11*$C$11+I12*$C$12+I13*$C$13)/SUM($C$4:$C$13))*36</f>
        <v>6422.3089476087425</v>
      </c>
      <c r="G36" s="92">
        <v>24</v>
      </c>
      <c r="H36" s="93">
        <v>27</v>
      </c>
      <c r="I36" s="93">
        <v>54</v>
      </c>
      <c r="J36" s="92">
        <f>(H4*$C$4+H5*$C$5+H6*$C$6+H7*$C$7+H8*$C$8+H9*$C$9+H10*$C$10+H11*$C$11+H12*$C$12+H13*$C$13)/SUM($C$4:$C$13)</f>
        <v>70.354370570367877</v>
      </c>
      <c r="K36" s="94">
        <f>(M4*$C$4+M5*$C$5+M6*$C$6+M7*$C$7+M8*$C$8+M9*$C$9+M10*$C$10+M11*$C$11+M12*$C$12+M13*$C$13)/SUM($C$4:$C$13)</f>
        <v>1.3044472662841715</v>
      </c>
      <c r="L36" s="103"/>
      <c r="N36" s="88"/>
      <c r="P36" t="s">
        <v>212</v>
      </c>
      <c r="Q36">
        <f>Q35/Q34</f>
        <v>0.52448021462105976</v>
      </c>
      <c r="R36" s="40" t="s">
        <v>120</v>
      </c>
      <c r="S36" s="6" t="s">
        <v>238</v>
      </c>
      <c r="T36" s="76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ht="15.75" thickBot="1" x14ac:dyDescent="0.3">
      <c r="A37" s="127"/>
      <c r="B37" s="127"/>
      <c r="C37" s="127"/>
      <c r="D37" s="125"/>
      <c r="E37" s="128"/>
      <c r="F37" s="128"/>
      <c r="G37" s="128"/>
      <c r="H37" s="128"/>
      <c r="I37" s="128"/>
      <c r="J37" s="128"/>
      <c r="K37" s="125"/>
      <c r="N37" s="71">
        <f t="shared" ref="N37" si="3">(N14*$C$14+N15*$C$15+N16*$C$16+N18*$C$18+N19*$C$19+N20*$C$20+N21*$C$21+N22*$C$22+N23*$C$23)/SUM($C$14:$C$16,$C$18:$C$23)</f>
        <v>287.10361553911343</v>
      </c>
      <c r="P37" t="s">
        <v>213</v>
      </c>
      <c r="Q37">
        <f>Q36*0.6</f>
        <v>0.31468812877263586</v>
      </c>
      <c r="R37" s="40" t="s">
        <v>123</v>
      </c>
      <c r="S37" s="6" t="s">
        <v>124</v>
      </c>
      <c r="T37" s="77" t="s">
        <v>239</v>
      </c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ht="15.75" thickBot="1" x14ac:dyDescent="0.3">
      <c r="A38" s="208" t="s">
        <v>23</v>
      </c>
      <c r="B38" s="64"/>
      <c r="C38" s="64"/>
      <c r="D38" s="94">
        <f>(D25*$C$25+D26*$C$26)/($C$25+$C$26)</f>
        <v>4.0952380952380949</v>
      </c>
      <c r="E38" s="92">
        <f>(E25*$C$25+E26*$C$26)/($C$25+$C$26)</f>
        <v>15.666666666666666</v>
      </c>
      <c r="F38" s="92">
        <f>(I25*$C$25+I26*$C$26)/($C$25+$C$26)*36</f>
        <v>5434.2857142857147</v>
      </c>
      <c r="G38" s="92">
        <f>J25</f>
        <v>18</v>
      </c>
      <c r="H38" s="92">
        <f>K25</f>
        <v>92</v>
      </c>
      <c r="I38" s="92">
        <f>L25</f>
        <v>0</v>
      </c>
      <c r="J38" s="92">
        <f>(H25*$C$25+H26*$C$26)/($C$25+$C$26)</f>
        <v>77.61904761904762</v>
      </c>
      <c r="K38" s="94">
        <f>M25</f>
        <v>2.4715000000000003</v>
      </c>
      <c r="L38" s="103"/>
      <c r="R38" s="40" t="s">
        <v>125</v>
      </c>
      <c r="S38" s="6" t="s">
        <v>241</v>
      </c>
      <c r="T38" s="76" t="s">
        <v>240</v>
      </c>
    </row>
    <row r="39" spans="1:37" ht="15.75" thickBot="1" x14ac:dyDescent="0.3">
      <c r="A39" s="207" t="s">
        <v>15</v>
      </c>
      <c r="B39" s="106"/>
      <c r="C39" s="106"/>
      <c r="D39" s="109">
        <f>(D14*$C$14+D15*$C$15+D16*$C$16+D19*$C$19+D20*$C$20+D21*$C$21+D23*$C$23+D24*$C$24)/SUM($C$14:$C$16,$C$19:$C$21,$C$23:$C$24)</f>
        <v>3.97721908728027</v>
      </c>
      <c r="E39" s="110">
        <f>(E14*$C$14+E15*$C$15+E16*$C$16+E19*$C$19+E20*$C$20+E21*$C$21+E22*$C$22+E23*$C$23+E24*$C$24)/SUM($C$14:$C$16,$C$19:$C$22,$C$23:$C$24)</f>
        <v>14.584021940707503</v>
      </c>
      <c r="F39" s="110">
        <f>(I14*$C$14+I15*$C$15+I16*$C$16+I19*$C$19+I20*$C$20+I22*$C$22+I23*$C$23+I24*$C$24)/SUM($C$14:$C$16,$C$19:$C$20,$C$22:$C$24)*36</f>
        <v>5503.8593954698308</v>
      </c>
      <c r="G39" s="110">
        <f>(J14*$C$14+J15*$C$15+J16*$C$16+J19*$C$19+J20*$C$20+J21*$C$21+J22*$C$22+J23*$C$23+J24*$C$24)/SUM($C$14:$C$16,$C$19:$C$22,$C$23:$C$24)</f>
        <v>26.830373179271199</v>
      </c>
      <c r="H39" s="110">
        <f>(K14*$C$14+K15*$C$15+K16*$C$16+K19*$C$19+K20*$C$20+K21*$C$21+K22*$C$22+K23*$C$23+K24*$C$24)/SUM($C$14:$C$16,$C$19:$C$22,$C$23:$C$24)</f>
        <v>82.016161345604644</v>
      </c>
      <c r="I39" s="110">
        <f>(L14*$C$14+L15*$C$15+L16*$C$16+L19*$C$19+L20*$C$20+L21*$C$21+L22*$C$22+L23*$C$23+L24*$C$24)/SUM($C$14:$C$16,$C$19:$C$22,$C$23:$C$24)</f>
        <v>80.119039161148407</v>
      </c>
      <c r="J39" s="110">
        <f>(H14*$C$14+H15*$C$15+H16*$C$16+H19*$C$19+H20*$C$20+H21*$C$21+H22*$C$22+H23*$C$23+H24*$C$24)/SUM($C$14:$C$16,$C$19:$C$22,$C$23:$C$24)</f>
        <v>79.007592000047808</v>
      </c>
      <c r="K39" s="109">
        <f>(M14*$C$14+M15*$C$15+M16*$C$16+M19*$C$19+M20*$C$20+M21*$C$21+M22*$C$22+M23*$C$23+M24*$C$24)/SUM($C$14:$C$16,$C$19:$C$22,$C$23:$C$24)</f>
        <v>2.2350314151703214</v>
      </c>
      <c r="R39" s="40" t="s">
        <v>102</v>
      </c>
      <c r="S39" s="6" t="s">
        <v>234</v>
      </c>
      <c r="T39" s="76" t="s">
        <v>218</v>
      </c>
    </row>
    <row r="40" spans="1:37" ht="15.75" thickBot="1" x14ac:dyDescent="0.3">
      <c r="A40" s="207" t="s">
        <v>316</v>
      </c>
      <c r="B40" s="106"/>
      <c r="C40" s="106"/>
      <c r="D40" s="109">
        <f>(D27*$C$27+D28*$C$28+D29*$C$29)/($C$27+$C$28+$C$29)</f>
        <v>3.2224719101123593</v>
      </c>
      <c r="E40" s="110">
        <f>(E27*$C$27+E28*$C$28+E29*$C$29)/($C$27+$C$28+$C$29)</f>
        <v>15.00561797752809</v>
      </c>
      <c r="F40" s="110">
        <f>(I27*$C$27+I28*$C$28+I29*$C$29)/($C$27+$C$28+$C$29)*36</f>
        <v>4749.5730337078658</v>
      </c>
      <c r="G40" s="110">
        <f>(J27*$C$27+J28*$C$28+J29*$C$29)/($C$27+$C$28+$C$29)</f>
        <v>18.865168539325843</v>
      </c>
      <c r="H40" s="110">
        <f>(K27*$C$27+K28*$C$28+K29*$C$29)/($C$27+$C$28+$C$29)</f>
        <v>109.11235955056179</v>
      </c>
      <c r="I40" s="110">
        <f>(L27*$C$27+L28*$C$28+L29*$C$29)/($C$27+$C$28+$C$29)</f>
        <v>0.3707865168539326</v>
      </c>
      <c r="J40" s="110">
        <f>(H27*$C$27+H28*$C$28+H29*$C$29)/($C$27+$C$28+$C$29)</f>
        <v>71.629213483146074</v>
      </c>
      <c r="K40" s="109">
        <f>(M27*$C$27+M28*$C$28+M29*$C$29)/($C$27+$C$28+$C$29)</f>
        <v>1.443583146067416</v>
      </c>
      <c r="R40" s="40"/>
      <c r="S40" s="6"/>
      <c r="T40" s="76"/>
    </row>
    <row r="41" spans="1:37" ht="15.75" thickBot="1" x14ac:dyDescent="0.3">
      <c r="A41" s="208" t="s">
        <v>385</v>
      </c>
      <c r="B41" s="64"/>
      <c r="C41" s="64"/>
      <c r="D41" s="94">
        <f>D30</f>
        <v>4.0999999999999996</v>
      </c>
      <c r="E41" s="92">
        <f>E30</f>
        <v>16.5</v>
      </c>
      <c r="F41" s="92">
        <f>I30*36</f>
        <v>3600</v>
      </c>
      <c r="G41" s="92">
        <f>J30</f>
        <v>15</v>
      </c>
      <c r="H41" s="92">
        <f>K30</f>
        <v>45</v>
      </c>
      <c r="I41" s="92">
        <f>L30</f>
        <v>90</v>
      </c>
      <c r="J41" s="92">
        <f>H30</f>
        <v>75</v>
      </c>
      <c r="K41" s="94">
        <f>M30</f>
        <v>1.0474999999999999</v>
      </c>
      <c r="R41" s="40"/>
      <c r="S41" s="6"/>
      <c r="T41" s="76"/>
    </row>
    <row r="42" spans="1:37" x14ac:dyDescent="0.25">
      <c r="D42" s="53"/>
      <c r="E42" s="53"/>
      <c r="F42" s="53"/>
      <c r="G42" s="53"/>
      <c r="H42" s="53"/>
      <c r="I42" s="53"/>
      <c r="J42" s="53"/>
      <c r="K42" s="53"/>
      <c r="R42" s="37" t="s">
        <v>128</v>
      </c>
      <c r="S42" s="6" t="s">
        <v>129</v>
      </c>
      <c r="T42" s="77" t="s">
        <v>242</v>
      </c>
    </row>
    <row r="43" spans="1:37" x14ac:dyDescent="0.25">
      <c r="R43" s="37" t="s">
        <v>172</v>
      </c>
      <c r="S43" t="s">
        <v>243</v>
      </c>
      <c r="T43" s="77"/>
    </row>
    <row r="44" spans="1:37" x14ac:dyDescent="0.25">
      <c r="G44" s="7"/>
      <c r="R44" s="37" t="s">
        <v>175</v>
      </c>
      <c r="S44" t="s">
        <v>244</v>
      </c>
      <c r="T44" s="77" t="s">
        <v>245</v>
      </c>
    </row>
    <row r="45" spans="1:37" ht="15.75" thickBot="1" x14ac:dyDescent="0.3">
      <c r="A45" s="7" t="s">
        <v>498</v>
      </c>
      <c r="M45" s="223" t="s">
        <v>460</v>
      </c>
      <c r="N45" s="185">
        <v>28.749579808906017</v>
      </c>
      <c r="R45" s="37" t="s">
        <v>177</v>
      </c>
      <c r="S45" s="4" t="s">
        <v>178</v>
      </c>
      <c r="T45" s="77"/>
    </row>
    <row r="46" spans="1:37" ht="15.75" thickBot="1" x14ac:dyDescent="0.3">
      <c r="A46" s="20" t="s">
        <v>497</v>
      </c>
      <c r="B46" s="74"/>
      <c r="C46" s="75"/>
      <c r="E46" s="98"/>
      <c r="G46" s="98"/>
      <c r="H46" s="98"/>
      <c r="J46" s="7" t="s">
        <v>459</v>
      </c>
      <c r="K46" s="7"/>
      <c r="L46" s="7"/>
      <c r="M46" s="223" t="s">
        <v>461</v>
      </c>
      <c r="N46" s="185">
        <v>29.862704565609814</v>
      </c>
      <c r="R46" s="82" t="s">
        <v>181</v>
      </c>
      <c r="S46" s="83" t="s">
        <v>246</v>
      </c>
      <c r="T46" s="89" t="s">
        <v>247</v>
      </c>
    </row>
    <row r="47" spans="1:37" x14ac:dyDescent="0.25">
      <c r="A47" s="19"/>
      <c r="B47" s="1"/>
      <c r="C47" s="2"/>
      <c r="E47" s="98"/>
      <c r="G47" s="98"/>
      <c r="H47" s="98"/>
      <c r="J47" s="7"/>
      <c r="K47" s="7"/>
      <c r="L47" s="7"/>
      <c r="M47" s="223"/>
      <c r="N47" s="185"/>
      <c r="R47" s="4"/>
      <c r="S47" s="4"/>
      <c r="T47" s="6"/>
    </row>
    <row r="48" spans="1:37" x14ac:dyDescent="0.25">
      <c r="A48" s="3"/>
      <c r="B48" s="236" t="s">
        <v>463</v>
      </c>
      <c r="C48" s="237" t="s">
        <v>457</v>
      </c>
      <c r="H48" s="98"/>
      <c r="J48" s="7" t="s">
        <v>462</v>
      </c>
      <c r="K48" s="7"/>
      <c r="L48" s="7">
        <f>N46/N45</f>
        <v>1.0387179487179488</v>
      </c>
      <c r="N48" s="4"/>
      <c r="R48" t="s">
        <v>134</v>
      </c>
      <c r="S48" t="s">
        <v>370</v>
      </c>
    </row>
    <row r="49" spans="1:20" x14ac:dyDescent="0.25">
      <c r="A49" s="104" t="s">
        <v>272</v>
      </c>
      <c r="B49" s="233">
        <v>17.034262092856306</v>
      </c>
      <c r="C49" s="234">
        <f>B49*$L$48</f>
        <v>17.693793779015614</v>
      </c>
      <c r="E49" s="98"/>
      <c r="G49" s="98"/>
      <c r="H49" s="98"/>
      <c r="N49" s="4"/>
      <c r="R49" s="4"/>
      <c r="S49" s="4"/>
      <c r="T49" s="4"/>
    </row>
    <row r="50" spans="1:20" x14ac:dyDescent="0.25">
      <c r="A50" s="104" t="s">
        <v>23</v>
      </c>
      <c r="B50" s="233">
        <v>13.592387353702824</v>
      </c>
      <c r="C50" s="234">
        <f>B50*$L$48</f>
        <v>14.118656710217985</v>
      </c>
      <c r="E50" s="98"/>
      <c r="G50" s="98"/>
      <c r="H50" s="98"/>
      <c r="N50" s="4"/>
      <c r="R50" s="4"/>
      <c r="S50" s="4"/>
      <c r="T50" s="4"/>
    </row>
    <row r="51" spans="1:20" x14ac:dyDescent="0.25">
      <c r="A51" s="153" t="s">
        <v>15</v>
      </c>
      <c r="B51" s="233">
        <v>15.625007662610034</v>
      </c>
      <c r="C51" s="234">
        <f>B51*$L$48</f>
        <v>16.229975908008527</v>
      </c>
      <c r="E51" s="98"/>
      <c r="G51" s="98"/>
      <c r="H51" s="98"/>
      <c r="N51" s="4"/>
      <c r="R51" s="4"/>
      <c r="S51" s="4"/>
      <c r="T51" s="4"/>
    </row>
    <row r="52" spans="1:20" x14ac:dyDescent="0.25">
      <c r="A52" s="153" t="s">
        <v>316</v>
      </c>
      <c r="B52" s="233">
        <v>15.793980962833583</v>
      </c>
      <c r="C52" s="234">
        <f>B52*$L$48</f>
        <v>16.405491507804832</v>
      </c>
      <c r="E52" s="98"/>
      <c r="G52" s="98"/>
      <c r="H52" s="98"/>
      <c r="N52" s="4"/>
      <c r="R52" s="4"/>
      <c r="S52" s="4"/>
      <c r="T52" s="4"/>
    </row>
    <row r="53" spans="1:20" x14ac:dyDescent="0.25">
      <c r="A53" s="104" t="s">
        <v>385</v>
      </c>
      <c r="B53" s="233">
        <v>11.072213406469201</v>
      </c>
      <c r="C53" s="234">
        <f>B53*$L$48</f>
        <v>11.500906797335061</v>
      </c>
      <c r="E53" s="98"/>
      <c r="G53" s="98"/>
      <c r="H53" s="98"/>
      <c r="N53" s="4"/>
      <c r="R53" s="4"/>
      <c r="S53" s="4"/>
      <c r="T53" s="4"/>
    </row>
    <row r="54" spans="1:20" ht="15.75" thickBot="1" x14ac:dyDescent="0.3">
      <c r="A54" s="21" t="s">
        <v>254</v>
      </c>
      <c r="B54" s="105">
        <v>19</v>
      </c>
      <c r="C54" s="235" t="s">
        <v>464</v>
      </c>
      <c r="E54" s="98"/>
      <c r="G54" s="98"/>
      <c r="H54" s="98"/>
      <c r="J54" s="226"/>
      <c r="K54" s="7"/>
      <c r="L54" s="225"/>
      <c r="N54" s="4"/>
      <c r="R54" s="4"/>
      <c r="S54" s="4"/>
      <c r="T54" s="4"/>
    </row>
    <row r="55" spans="1:20" x14ac:dyDescent="0.25">
      <c r="E55" s="98"/>
      <c r="G55" s="98"/>
      <c r="H55" s="98"/>
      <c r="J55" s="226"/>
      <c r="K55" s="7"/>
      <c r="L55" s="225"/>
      <c r="N55" s="4"/>
      <c r="R55" s="4"/>
      <c r="S55" s="4"/>
      <c r="T55" s="4"/>
    </row>
    <row r="56" spans="1:20" x14ac:dyDescent="0.25">
      <c r="E56" s="98"/>
      <c r="J56" s="226"/>
      <c r="K56" s="7"/>
      <c r="L56" s="225"/>
      <c r="N56" s="4"/>
      <c r="R56" s="4"/>
      <c r="S56" s="4"/>
      <c r="T56" s="4"/>
    </row>
    <row r="57" spans="1:20" x14ac:dyDescent="0.25">
      <c r="J57" s="226"/>
      <c r="K57" s="7"/>
      <c r="L57" s="225"/>
      <c r="N57" s="4"/>
      <c r="R57" s="4"/>
      <c r="S57" s="4"/>
      <c r="T57" s="4"/>
    </row>
    <row r="58" spans="1:20" x14ac:dyDescent="0.25">
      <c r="J58" s="226"/>
      <c r="K58" s="7"/>
      <c r="L58" s="225"/>
      <c r="N58" s="4"/>
      <c r="R58" s="4"/>
      <c r="S58" s="4"/>
      <c r="T58" s="4"/>
    </row>
    <row r="59" spans="1:20" x14ac:dyDescent="0.25">
      <c r="J59" s="226"/>
      <c r="K59" s="7"/>
      <c r="L59" s="225"/>
      <c r="N59" s="4"/>
      <c r="R59" s="4"/>
      <c r="S59" s="4"/>
      <c r="T59" s="6"/>
    </row>
    <row r="60" spans="1:20" x14ac:dyDescent="0.25">
      <c r="J60" s="226"/>
      <c r="K60" s="7"/>
      <c r="L60" s="225"/>
      <c r="N60" s="4"/>
      <c r="R60" s="4"/>
      <c r="S60" s="4"/>
      <c r="T60" s="6"/>
    </row>
    <row r="61" spans="1:20" x14ac:dyDescent="0.25">
      <c r="J61" s="226"/>
      <c r="K61" s="7"/>
      <c r="L61" s="225"/>
      <c r="N61" s="4"/>
      <c r="R61" s="4"/>
      <c r="S61" s="4"/>
      <c r="T61" s="6"/>
    </row>
    <row r="62" spans="1:20" x14ac:dyDescent="0.25">
      <c r="J62" s="226"/>
      <c r="K62" s="7"/>
      <c r="L62" s="225"/>
      <c r="N62" s="4"/>
      <c r="R62" s="4"/>
      <c r="S62" s="4"/>
      <c r="T62" s="4"/>
    </row>
    <row r="63" spans="1:20" x14ac:dyDescent="0.25">
      <c r="R63" s="4"/>
      <c r="S63" s="4"/>
      <c r="T63" s="4"/>
    </row>
    <row r="64" spans="1:20" x14ac:dyDescent="0.25">
      <c r="R64" s="4"/>
      <c r="S64" s="4"/>
      <c r="T64" s="4"/>
    </row>
    <row r="65" spans="18:20" x14ac:dyDescent="0.25">
      <c r="R65" s="4"/>
      <c r="S65" s="4"/>
      <c r="T65" s="4"/>
    </row>
    <row r="66" spans="18:20" x14ac:dyDescent="0.25">
      <c r="R66" s="4"/>
      <c r="S66" s="4"/>
      <c r="T66" s="4"/>
    </row>
    <row r="67" spans="18:20" x14ac:dyDescent="0.25">
      <c r="R67" s="4"/>
      <c r="S67" s="4"/>
      <c r="T67" s="4"/>
    </row>
    <row r="68" spans="18:20" x14ac:dyDescent="0.25">
      <c r="R68" s="4"/>
      <c r="S68" s="4"/>
      <c r="T68" s="4"/>
    </row>
    <row r="69" spans="18:20" x14ac:dyDescent="0.25">
      <c r="R69" s="4"/>
      <c r="S69" s="4"/>
      <c r="T69" s="4"/>
    </row>
    <row r="70" spans="18:20" x14ac:dyDescent="0.25">
      <c r="R70" s="4"/>
      <c r="S70" s="4"/>
      <c r="T70" s="4"/>
    </row>
    <row r="71" spans="18:20" x14ac:dyDescent="0.25">
      <c r="R71" s="4"/>
      <c r="S71" s="4"/>
      <c r="T71" s="4"/>
    </row>
    <row r="72" spans="18:20" x14ac:dyDescent="0.25">
      <c r="R72" s="4"/>
      <c r="S72" s="4"/>
      <c r="T72" s="4"/>
    </row>
    <row r="73" spans="18:20" x14ac:dyDescent="0.25">
      <c r="R73" s="4"/>
      <c r="S73" s="4"/>
      <c r="T73" s="4"/>
    </row>
    <row r="74" spans="18:20" x14ac:dyDescent="0.25">
      <c r="R74" s="4"/>
      <c r="S74" s="4"/>
      <c r="T74" s="4"/>
    </row>
    <row r="75" spans="18:20" x14ac:dyDescent="0.25">
      <c r="R75" s="4"/>
      <c r="S75" s="4"/>
      <c r="T75" s="4"/>
    </row>
    <row r="76" spans="18:20" x14ac:dyDescent="0.25">
      <c r="R76" s="4"/>
      <c r="S76" s="4"/>
      <c r="T76" s="4"/>
    </row>
    <row r="77" spans="18:20" x14ac:dyDescent="0.25">
      <c r="R77" s="4"/>
      <c r="S77" s="4"/>
      <c r="T77" s="4"/>
    </row>
    <row r="78" spans="18:20" x14ac:dyDescent="0.25">
      <c r="R78" s="4"/>
      <c r="S78" s="4"/>
      <c r="T78" s="4"/>
    </row>
    <row r="79" spans="18:20" x14ac:dyDescent="0.25">
      <c r="R79" s="4"/>
      <c r="S79" s="4"/>
      <c r="T79" s="4"/>
    </row>
  </sheetData>
  <pageMargins left="0.7" right="0.7" top="0.75" bottom="0.75" header="0.3" footer="0.3"/>
  <pageSetup paperSize="9" orientation="portrait" r:id="rId1"/>
  <ignoredErrors>
    <ignoredError sqref="M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topLeftCell="A11" workbookViewId="0">
      <selection activeCell="C74" sqref="C74"/>
    </sheetView>
  </sheetViews>
  <sheetFormatPr defaultRowHeight="15" x14ac:dyDescent="0.25"/>
  <cols>
    <col min="1" max="1" width="17.140625" customWidth="1"/>
    <col min="2" max="2" width="24.140625" customWidth="1"/>
    <col min="3" max="3" width="20.7109375" customWidth="1"/>
    <col min="4" max="10" width="16.42578125" customWidth="1"/>
    <col min="11" max="11" width="10.5703125" customWidth="1"/>
    <col min="13" max="13" width="13.7109375" customWidth="1"/>
    <col min="20" max="20" width="14.7109375" customWidth="1"/>
    <col min="21" max="21" width="20" customWidth="1"/>
    <col min="22" max="22" width="13.85546875" customWidth="1"/>
    <col min="23" max="23" width="11.7109375" customWidth="1"/>
    <col min="24" max="24" width="18.7109375" customWidth="1"/>
    <col min="26" max="26" width="12.85546875" customWidth="1"/>
    <col min="27" max="27" width="19.5703125" customWidth="1"/>
  </cols>
  <sheetData>
    <row r="1" spans="1:23" ht="18.75" thickBot="1" x14ac:dyDescent="0.3">
      <c r="A1" s="90" t="s">
        <v>284</v>
      </c>
      <c r="B1" s="169" t="s">
        <v>466</v>
      </c>
      <c r="C1" s="179" t="s">
        <v>0</v>
      </c>
      <c r="D1" s="180" t="s">
        <v>280</v>
      </c>
      <c r="E1" s="181" t="s">
        <v>289</v>
      </c>
      <c r="F1" s="182" t="s">
        <v>281</v>
      </c>
      <c r="G1" s="183" t="s">
        <v>288</v>
      </c>
      <c r="H1" s="182" t="s">
        <v>286</v>
      </c>
      <c r="I1" s="182" t="s">
        <v>287</v>
      </c>
      <c r="J1" s="182" t="s">
        <v>282</v>
      </c>
      <c r="K1" s="184" t="s">
        <v>283</v>
      </c>
      <c r="N1" s="22"/>
      <c r="O1" s="22"/>
      <c r="P1" s="22"/>
      <c r="Q1" s="22"/>
      <c r="R1" s="36"/>
      <c r="S1" s="36"/>
      <c r="T1" s="4"/>
      <c r="U1" s="4"/>
      <c r="V1" s="4"/>
      <c r="W1" s="4"/>
    </row>
    <row r="2" spans="1:23" ht="18" x14ac:dyDescent="0.25">
      <c r="A2" s="6"/>
      <c r="B2" s="6"/>
      <c r="C2" s="3"/>
      <c r="D2" s="96" t="s">
        <v>273</v>
      </c>
      <c r="E2" s="95" t="s">
        <v>274</v>
      </c>
      <c r="F2" s="168" t="s">
        <v>275</v>
      </c>
      <c r="G2" s="168" t="s">
        <v>276</v>
      </c>
      <c r="H2" s="168" t="s">
        <v>277</v>
      </c>
      <c r="I2" s="168" t="s">
        <v>278</v>
      </c>
      <c r="J2" s="168" t="s">
        <v>205</v>
      </c>
      <c r="K2" s="132" t="s">
        <v>279</v>
      </c>
      <c r="N2" s="22"/>
      <c r="O2" s="22"/>
      <c r="P2" s="22"/>
      <c r="Q2" s="22"/>
      <c r="R2" s="36"/>
      <c r="S2" s="36"/>
      <c r="T2" s="129"/>
      <c r="U2" s="4"/>
      <c r="V2" s="4"/>
      <c r="W2" s="4"/>
    </row>
    <row r="3" spans="1:23" x14ac:dyDescent="0.25">
      <c r="C3" s="12" t="s">
        <v>8</v>
      </c>
      <c r="D3" s="96">
        <v>2.1123642207038107</v>
      </c>
      <c r="E3" s="95">
        <v>9.0079401517811331</v>
      </c>
      <c r="F3" s="168">
        <v>5368.1661490263859</v>
      </c>
      <c r="G3" s="168">
        <v>96.071599103357016</v>
      </c>
      <c r="H3" s="168">
        <v>47.80727577173414</v>
      </c>
      <c r="I3" s="168">
        <v>0</v>
      </c>
      <c r="J3" s="168">
        <v>6.0039700758905665</v>
      </c>
      <c r="K3" s="132">
        <v>1.4518062765009321</v>
      </c>
      <c r="L3" s="98"/>
      <c r="N3" s="22"/>
      <c r="O3" s="22"/>
      <c r="P3" s="22"/>
      <c r="Q3" s="22"/>
      <c r="R3" s="36"/>
      <c r="S3" s="36"/>
      <c r="T3" s="4"/>
      <c r="U3" s="4"/>
      <c r="V3" s="4"/>
      <c r="W3" s="4"/>
    </row>
    <row r="4" spans="1:23" x14ac:dyDescent="0.25">
      <c r="B4" s="13"/>
      <c r="C4" s="12" t="s">
        <v>15</v>
      </c>
      <c r="D4" s="170">
        <v>3</v>
      </c>
      <c r="E4" s="111">
        <v>9</v>
      </c>
      <c r="F4" s="171"/>
      <c r="G4" s="172">
        <v>69</v>
      </c>
      <c r="H4" s="172">
        <v>0</v>
      </c>
      <c r="I4" s="172">
        <v>0</v>
      </c>
      <c r="J4" s="172">
        <v>6.6</v>
      </c>
      <c r="K4" s="173">
        <v>2.415</v>
      </c>
      <c r="N4" s="22"/>
      <c r="O4" s="22"/>
      <c r="P4" s="22"/>
      <c r="Q4" s="22"/>
      <c r="R4" s="36"/>
      <c r="S4" s="36"/>
      <c r="T4" s="4"/>
      <c r="U4" s="4"/>
      <c r="V4" s="4"/>
      <c r="W4" s="4"/>
    </row>
    <row r="5" spans="1:23" x14ac:dyDescent="0.25">
      <c r="B5" s="13"/>
      <c r="C5" s="12" t="s">
        <v>7</v>
      </c>
      <c r="D5" s="170">
        <v>2.664227467811159</v>
      </c>
      <c r="E5" s="111">
        <v>9.9491416309012877</v>
      </c>
      <c r="F5" s="172">
        <v>5055.7133956071702</v>
      </c>
      <c r="G5" s="172">
        <v>100.73412017167382</v>
      </c>
      <c r="H5" s="172">
        <v>56.267811158798281</v>
      </c>
      <c r="I5" s="172">
        <v>33.985407725321892</v>
      </c>
      <c r="J5" s="172">
        <v>6.1615450643776821</v>
      </c>
      <c r="K5" s="173">
        <v>1.058101931330472</v>
      </c>
      <c r="N5" s="22"/>
      <c r="O5" s="22"/>
      <c r="P5" s="22"/>
      <c r="Q5" s="22"/>
      <c r="R5" s="36"/>
      <c r="S5" s="36"/>
      <c r="T5" s="4"/>
      <c r="U5" s="4"/>
      <c r="V5" s="4"/>
      <c r="W5" s="4"/>
    </row>
    <row r="6" spans="1:23" x14ac:dyDescent="0.25">
      <c r="B6" s="13"/>
      <c r="C6" s="12" t="s">
        <v>270</v>
      </c>
      <c r="D6" s="170">
        <v>2.7723760463618801</v>
      </c>
      <c r="E6" s="111">
        <v>12.122987765614939</v>
      </c>
      <c r="F6" s="174">
        <v>3803.876368319382</v>
      </c>
      <c r="G6" s="172">
        <v>78.663876368319379</v>
      </c>
      <c r="H6" s="172">
        <v>46.410817772054088</v>
      </c>
      <c r="I6" s="172">
        <v>0</v>
      </c>
      <c r="J6" s="172">
        <v>6</v>
      </c>
      <c r="K6" s="173">
        <v>0.51340952994204769</v>
      </c>
      <c r="N6" s="22"/>
      <c r="O6" s="22"/>
      <c r="P6" s="22"/>
      <c r="Q6" s="22"/>
      <c r="R6" s="36"/>
      <c r="S6" s="36"/>
      <c r="T6" s="4"/>
      <c r="U6" s="4"/>
      <c r="V6" s="4"/>
      <c r="W6" s="4"/>
    </row>
    <row r="7" spans="1:23" x14ac:dyDescent="0.25">
      <c r="B7" s="13"/>
      <c r="C7" s="12" t="s">
        <v>291</v>
      </c>
      <c r="D7" s="170">
        <v>3.2693726937269374</v>
      </c>
      <c r="E7" s="111">
        <v>9.3690036900368998</v>
      </c>
      <c r="F7" s="174">
        <v>3940.7380073800737</v>
      </c>
      <c r="G7" s="172">
        <v>108.87638376383764</v>
      </c>
      <c r="H7" s="172">
        <v>45.920664206642066</v>
      </c>
      <c r="I7" s="172">
        <v>13.881918819188192</v>
      </c>
      <c r="J7" s="172">
        <v>6</v>
      </c>
      <c r="K7" s="173">
        <v>1.895880996309963</v>
      </c>
      <c r="N7" s="22"/>
      <c r="O7" s="22"/>
      <c r="P7" s="22"/>
      <c r="Q7" s="22"/>
      <c r="R7" s="36"/>
      <c r="S7" s="36"/>
      <c r="T7" s="4"/>
      <c r="U7" s="4"/>
      <c r="V7" s="4"/>
      <c r="W7" s="4"/>
    </row>
    <row r="8" spans="1:23" x14ac:dyDescent="0.25">
      <c r="B8" s="13"/>
      <c r="C8" s="12" t="s">
        <v>316</v>
      </c>
      <c r="D8" s="170">
        <v>3.3646408839779007</v>
      </c>
      <c r="E8" s="111">
        <v>9</v>
      </c>
      <c r="F8" s="174">
        <v>4140</v>
      </c>
      <c r="G8" s="172">
        <v>105</v>
      </c>
      <c r="H8" s="172">
        <v>92</v>
      </c>
      <c r="I8" s="172">
        <v>0</v>
      </c>
      <c r="J8" s="172">
        <v>6</v>
      </c>
      <c r="K8" s="173">
        <v>2.0249999999999999</v>
      </c>
      <c r="N8" s="22"/>
      <c r="O8" s="22"/>
      <c r="P8" s="22"/>
      <c r="Q8" s="22"/>
      <c r="R8" s="36"/>
      <c r="S8" s="36"/>
      <c r="T8" s="4"/>
      <c r="U8" s="4"/>
      <c r="V8" s="4"/>
      <c r="W8" s="4"/>
    </row>
    <row r="9" spans="1:23" x14ac:dyDescent="0.25">
      <c r="B9" s="13"/>
      <c r="C9" s="12" t="s">
        <v>402</v>
      </c>
      <c r="D9" s="170">
        <v>3</v>
      </c>
      <c r="E9" s="111">
        <v>9</v>
      </c>
      <c r="F9" s="174">
        <v>4140</v>
      </c>
      <c r="G9" s="172">
        <v>105</v>
      </c>
      <c r="H9" s="172">
        <v>92</v>
      </c>
      <c r="I9" s="172">
        <v>0</v>
      </c>
      <c r="J9" s="172">
        <v>6</v>
      </c>
      <c r="K9" s="173">
        <v>2.0249999999999999</v>
      </c>
      <c r="N9" s="22"/>
      <c r="O9" s="22"/>
      <c r="P9" s="22"/>
      <c r="Q9" s="22"/>
      <c r="R9" s="36"/>
      <c r="S9" s="36"/>
      <c r="T9" s="4"/>
      <c r="U9" s="4"/>
      <c r="V9" s="4"/>
      <c r="W9" s="4"/>
    </row>
    <row r="10" spans="1:23" ht="15.75" thickBot="1" x14ac:dyDescent="0.3">
      <c r="B10" s="13"/>
      <c r="C10" s="16" t="s">
        <v>404</v>
      </c>
      <c r="D10" s="175">
        <v>3</v>
      </c>
      <c r="E10" s="176">
        <v>9</v>
      </c>
      <c r="F10" s="177">
        <v>4140</v>
      </c>
      <c r="G10" s="177">
        <v>105</v>
      </c>
      <c r="H10" s="177">
        <v>92</v>
      </c>
      <c r="I10" s="177">
        <v>0</v>
      </c>
      <c r="J10" s="177">
        <v>6</v>
      </c>
      <c r="K10" s="178">
        <v>2.0249999999999999</v>
      </c>
      <c r="R10" s="4"/>
      <c r="S10" s="4"/>
      <c r="T10" s="4"/>
      <c r="U10" s="4"/>
      <c r="V10" s="4"/>
      <c r="W10" s="4"/>
    </row>
    <row r="11" spans="1:23" ht="18" thickBot="1" x14ac:dyDescent="0.3">
      <c r="B11" s="197" t="s">
        <v>255</v>
      </c>
      <c r="C11" s="197" t="s">
        <v>485</v>
      </c>
      <c r="D11" s="98"/>
      <c r="E11" s="99"/>
      <c r="F11" s="167"/>
      <c r="G11" s="167"/>
      <c r="H11" s="167"/>
      <c r="I11" s="167"/>
      <c r="J11" s="167"/>
      <c r="K11" s="99"/>
      <c r="R11" s="4"/>
      <c r="S11" s="4"/>
      <c r="T11" s="4"/>
      <c r="U11" s="4"/>
      <c r="V11" s="4"/>
      <c r="W11" s="4"/>
    </row>
    <row r="12" spans="1:23" x14ac:dyDescent="0.25">
      <c r="A12" s="238" t="s">
        <v>8</v>
      </c>
      <c r="B12" s="239">
        <v>38.532606860534358</v>
      </c>
      <c r="C12" s="240">
        <v>40.024510356929405</v>
      </c>
      <c r="D12" s="98"/>
      <c r="E12" s="99"/>
      <c r="F12" s="167"/>
      <c r="G12" s="167"/>
      <c r="H12" s="167"/>
      <c r="I12" s="167"/>
      <c r="J12" s="167"/>
      <c r="K12" s="99"/>
      <c r="R12" s="4"/>
      <c r="S12" s="4"/>
      <c r="T12" s="4"/>
      <c r="U12" s="4"/>
      <c r="V12" s="4"/>
      <c r="W12" s="4"/>
    </row>
    <row r="13" spans="1:23" x14ac:dyDescent="0.25">
      <c r="A13" s="104" t="s">
        <v>15</v>
      </c>
      <c r="B13" s="241" t="s">
        <v>458</v>
      </c>
      <c r="C13" s="242" t="s">
        <v>458</v>
      </c>
      <c r="D13" s="98"/>
      <c r="E13" s="99"/>
      <c r="F13" s="167"/>
      <c r="G13" s="167"/>
      <c r="H13" s="167"/>
      <c r="I13" s="167"/>
      <c r="J13" s="167"/>
      <c r="K13" s="99"/>
      <c r="R13" s="4"/>
      <c r="S13" s="4"/>
      <c r="T13" s="4"/>
      <c r="U13" s="4"/>
      <c r="V13" s="4"/>
      <c r="W13" s="4"/>
    </row>
    <row r="14" spans="1:23" x14ac:dyDescent="0.25">
      <c r="A14" s="153" t="s">
        <v>7</v>
      </c>
      <c r="B14" s="241">
        <v>32.642909998101523</v>
      </c>
      <c r="C14" s="242">
        <v>33.906776513412638</v>
      </c>
      <c r="D14" s="98"/>
      <c r="E14" s="99"/>
      <c r="F14" s="167"/>
      <c r="G14" s="167"/>
      <c r="H14" s="167"/>
      <c r="I14" s="167"/>
      <c r="J14" s="167"/>
      <c r="K14" s="99"/>
      <c r="R14" s="4"/>
      <c r="S14" s="4"/>
      <c r="T14" s="4"/>
      <c r="U14" s="4"/>
      <c r="V14" s="4"/>
      <c r="W14" s="4"/>
    </row>
    <row r="15" spans="1:23" x14ac:dyDescent="0.25">
      <c r="A15" s="153" t="s">
        <v>270</v>
      </c>
      <c r="B15" s="241">
        <v>25.742009028371481</v>
      </c>
      <c r="C15" s="242">
        <v>26.738686813828942</v>
      </c>
      <c r="D15" s="98"/>
      <c r="E15" s="99"/>
      <c r="F15" s="167"/>
      <c r="G15" s="167"/>
      <c r="H15" s="167"/>
      <c r="I15" s="167"/>
      <c r="J15" s="167"/>
      <c r="K15" s="99"/>
      <c r="R15" s="4"/>
      <c r="S15" s="4"/>
      <c r="T15" s="4"/>
      <c r="U15" s="4"/>
      <c r="V15" s="6"/>
      <c r="W15" s="4"/>
    </row>
    <row r="16" spans="1:23" x14ac:dyDescent="0.25">
      <c r="A16" s="153" t="s">
        <v>291</v>
      </c>
      <c r="B16" s="241">
        <v>27.157141576575146</v>
      </c>
      <c r="C16" s="242">
        <v>28.208610391463058</v>
      </c>
      <c r="D16" s="98"/>
      <c r="E16" s="99"/>
      <c r="F16" s="167"/>
      <c r="G16" s="167"/>
      <c r="H16" s="167"/>
      <c r="I16" s="167"/>
      <c r="J16" s="167"/>
      <c r="K16" s="99"/>
      <c r="R16" s="4"/>
      <c r="S16" s="4"/>
      <c r="T16" s="4"/>
      <c r="U16" s="4"/>
      <c r="V16" s="6"/>
      <c r="W16" s="4"/>
    </row>
    <row r="17" spans="1:23" x14ac:dyDescent="0.25">
      <c r="A17" s="153" t="s">
        <v>316</v>
      </c>
      <c r="B17" s="241">
        <v>26.566989120899393</v>
      </c>
      <c r="C17" s="242">
        <v>27.595608443272678</v>
      </c>
      <c r="D17" s="98"/>
      <c r="E17" s="99"/>
      <c r="F17" s="167"/>
      <c r="G17" s="167"/>
      <c r="H17" s="167"/>
      <c r="I17" s="167"/>
      <c r="J17" s="167"/>
      <c r="K17" s="99"/>
      <c r="R17" s="4"/>
      <c r="S17" s="4"/>
      <c r="T17" s="4"/>
      <c r="U17" s="4"/>
      <c r="V17" s="6"/>
      <c r="W17" s="4"/>
    </row>
    <row r="18" spans="1:23" x14ac:dyDescent="0.25">
      <c r="A18" s="104" t="s">
        <v>402</v>
      </c>
      <c r="B18" s="241">
        <v>29.227750330046522</v>
      </c>
      <c r="C18" s="242">
        <v>30.359388868466272</v>
      </c>
      <c r="D18" s="98"/>
      <c r="E18" s="99"/>
      <c r="F18" s="167"/>
      <c r="G18" s="167"/>
      <c r="H18" s="167"/>
      <c r="I18" s="167"/>
      <c r="J18" s="167"/>
      <c r="K18" s="99"/>
      <c r="R18" s="4"/>
      <c r="S18" s="4"/>
      <c r="T18" s="4"/>
      <c r="U18" s="4"/>
      <c r="V18" s="6"/>
      <c r="W18" s="4"/>
    </row>
    <row r="19" spans="1:23" x14ac:dyDescent="0.25">
      <c r="A19" s="104" t="s">
        <v>404</v>
      </c>
      <c r="B19" s="241">
        <v>29.227750330046522</v>
      </c>
      <c r="C19" s="242">
        <v>30.359388868466272</v>
      </c>
      <c r="D19" s="98"/>
      <c r="E19" s="99"/>
      <c r="F19" s="167"/>
      <c r="G19" s="167"/>
      <c r="H19" s="167"/>
      <c r="I19" s="167"/>
      <c r="J19" s="167"/>
      <c r="K19" s="99"/>
      <c r="R19" s="4"/>
      <c r="S19" s="4"/>
      <c r="T19" s="4"/>
      <c r="U19" s="4"/>
      <c r="V19" s="6"/>
      <c r="W19" s="4"/>
    </row>
    <row r="20" spans="1:23" ht="15.75" thickBot="1" x14ac:dyDescent="0.3">
      <c r="A20" s="21" t="s">
        <v>254</v>
      </c>
      <c r="B20" s="105">
        <v>18</v>
      </c>
      <c r="C20" s="235" t="s">
        <v>484</v>
      </c>
      <c r="D20" s="98"/>
      <c r="E20" s="99"/>
      <c r="F20" s="167"/>
      <c r="G20" s="167"/>
      <c r="H20" s="167"/>
      <c r="I20" s="167"/>
      <c r="J20" s="167"/>
      <c r="K20" s="99"/>
      <c r="R20" s="4"/>
      <c r="S20" s="4"/>
      <c r="T20" s="4"/>
      <c r="U20" s="6"/>
      <c r="V20" s="6"/>
      <c r="W20" s="4"/>
    </row>
    <row r="21" spans="1:23" x14ac:dyDescent="0.25">
      <c r="A21" s="6"/>
      <c r="B21" s="136"/>
      <c r="C21" s="136"/>
      <c r="D21" s="166"/>
      <c r="E21" s="99"/>
      <c r="F21" s="167"/>
      <c r="G21" s="167"/>
      <c r="H21" s="167"/>
      <c r="I21" s="167"/>
      <c r="J21" s="167"/>
      <c r="K21" s="99"/>
      <c r="R21" s="4"/>
      <c r="S21" s="4"/>
      <c r="T21" s="4"/>
      <c r="U21" s="4"/>
      <c r="V21" s="4"/>
      <c r="W21" s="4"/>
    </row>
    <row r="22" spans="1:23" ht="15.75" thickBot="1" x14ac:dyDescent="0.3">
      <c r="A22" s="83"/>
      <c r="B22" s="83"/>
      <c r="C22" s="4"/>
      <c r="D22" s="185"/>
      <c r="E22" s="186"/>
      <c r="F22" s="187"/>
      <c r="G22" s="187"/>
      <c r="H22" s="187"/>
      <c r="I22" s="187"/>
      <c r="J22" s="187"/>
      <c r="K22" s="186"/>
      <c r="R22" s="4"/>
      <c r="S22" s="4"/>
      <c r="T22" s="4"/>
      <c r="U22" s="4"/>
      <c r="V22" s="4"/>
      <c r="W22" s="4"/>
    </row>
    <row r="23" spans="1:23" ht="18.75" thickBot="1" x14ac:dyDescent="0.3">
      <c r="A23" s="131" t="s">
        <v>285</v>
      </c>
      <c r="B23" s="6"/>
      <c r="C23" s="179" t="s">
        <v>0</v>
      </c>
      <c r="D23" s="180" t="s">
        <v>280</v>
      </c>
      <c r="E23" s="181" t="s">
        <v>289</v>
      </c>
      <c r="F23" s="182" t="s">
        <v>281</v>
      </c>
      <c r="G23" s="182" t="s">
        <v>288</v>
      </c>
      <c r="H23" s="182" t="s">
        <v>286</v>
      </c>
      <c r="I23" s="182" t="s">
        <v>287</v>
      </c>
      <c r="J23" s="182" t="s">
        <v>282</v>
      </c>
      <c r="K23" s="184" t="s">
        <v>283</v>
      </c>
      <c r="R23" s="4"/>
      <c r="S23" s="4"/>
      <c r="T23" s="4"/>
      <c r="U23" s="4"/>
      <c r="V23" s="4"/>
      <c r="W23" s="4"/>
    </row>
    <row r="24" spans="1:23" ht="18" x14ac:dyDescent="0.25">
      <c r="A24" s="90"/>
      <c r="B24" s="6"/>
      <c r="C24" s="3"/>
      <c r="D24" s="96" t="s">
        <v>273</v>
      </c>
      <c r="E24" s="95" t="s">
        <v>274</v>
      </c>
      <c r="F24" s="168" t="s">
        <v>275</v>
      </c>
      <c r="G24" s="168" t="s">
        <v>276</v>
      </c>
      <c r="H24" s="168" t="s">
        <v>277</v>
      </c>
      <c r="I24" s="168" t="s">
        <v>278</v>
      </c>
      <c r="J24" s="168" t="s">
        <v>205</v>
      </c>
      <c r="K24" s="132" t="s">
        <v>279</v>
      </c>
    </row>
    <row r="25" spans="1:23" x14ac:dyDescent="0.25">
      <c r="C25" s="3" t="s">
        <v>7</v>
      </c>
      <c r="D25" s="96">
        <v>2.5280833369057318</v>
      </c>
      <c r="E25" s="95">
        <v>10.245916748831824</v>
      </c>
      <c r="F25" s="168">
        <v>4530.4842406804528</v>
      </c>
      <c r="G25" s="168">
        <v>98.225901316071486</v>
      </c>
      <c r="H25" s="168">
        <v>38.024606678955713</v>
      </c>
      <c r="I25" s="168">
        <v>2.1434389334247865</v>
      </c>
      <c r="J25" s="168">
        <v>4.5341449822094564</v>
      </c>
      <c r="K25" s="132">
        <v>1.2670784927337417</v>
      </c>
    </row>
    <row r="26" spans="1:23" x14ac:dyDescent="0.25">
      <c r="B26" s="13"/>
      <c r="C26" s="12" t="s">
        <v>15</v>
      </c>
      <c r="D26" s="68">
        <v>3.4101365885136592</v>
      </c>
      <c r="E26" s="130">
        <v>9.0697999569799972</v>
      </c>
      <c r="F26" s="172">
        <v>4004.6533127889065</v>
      </c>
      <c r="G26" s="172">
        <v>112.21940202194021</v>
      </c>
      <c r="H26" s="172">
        <v>0</v>
      </c>
      <c r="I26" s="172">
        <v>0</v>
      </c>
      <c r="J26" s="172">
        <v>2.6233598623359859</v>
      </c>
      <c r="K26" s="173">
        <v>1.0069219186921921</v>
      </c>
    </row>
    <row r="27" spans="1:23" x14ac:dyDescent="0.25">
      <c r="B27" s="13"/>
      <c r="C27" s="12" t="s">
        <v>8</v>
      </c>
      <c r="D27" s="68">
        <v>2.5725354248819174</v>
      </c>
      <c r="E27" s="130">
        <v>9.9506651644494539</v>
      </c>
      <c r="F27" s="91">
        <v>3929.6659011136635</v>
      </c>
      <c r="G27" s="91">
        <v>110.47084109719636</v>
      </c>
      <c r="H27" s="91">
        <v>0</v>
      </c>
      <c r="I27" s="91">
        <v>0</v>
      </c>
      <c r="J27" s="91">
        <v>3.5840013866620444</v>
      </c>
      <c r="K27" s="188">
        <v>1.6558885470381768</v>
      </c>
    </row>
    <row r="28" spans="1:23" x14ac:dyDescent="0.25">
      <c r="B28" s="13"/>
      <c r="C28" s="12" t="s">
        <v>270</v>
      </c>
      <c r="D28" s="68">
        <v>2.8000000000000003</v>
      </c>
      <c r="E28" s="130">
        <v>9.5</v>
      </c>
      <c r="F28" s="91">
        <v>2555.294117647059</v>
      </c>
      <c r="G28" s="91">
        <v>51.035294117647069</v>
      </c>
      <c r="H28" s="91">
        <v>8.5784313725490193</v>
      </c>
      <c r="I28" s="91">
        <v>0</v>
      </c>
      <c r="J28" s="91">
        <v>4.9803921568627452</v>
      </c>
      <c r="K28" s="188">
        <v>1.0160784313725491</v>
      </c>
    </row>
    <row r="29" spans="1:23" x14ac:dyDescent="0.25">
      <c r="B29" s="13"/>
      <c r="C29" s="12" t="s">
        <v>291</v>
      </c>
      <c r="D29" s="68">
        <v>3.0448814926878471</v>
      </c>
      <c r="E29" s="130">
        <v>9.6323751891074139</v>
      </c>
      <c r="F29" s="91">
        <v>4493.1921331316189</v>
      </c>
      <c r="G29" s="91">
        <v>83.147957639939477</v>
      </c>
      <c r="H29" s="91">
        <v>0</v>
      </c>
      <c r="I29" s="91">
        <v>0</v>
      </c>
      <c r="J29" s="91">
        <v>4.0378214826021184</v>
      </c>
      <c r="K29" s="188">
        <v>1.8752193645990929</v>
      </c>
    </row>
    <row r="30" spans="1:23" x14ac:dyDescent="0.25">
      <c r="B30" s="13"/>
      <c r="C30" s="12" t="s">
        <v>316</v>
      </c>
      <c r="D30" s="68">
        <v>3.6773091707852825</v>
      </c>
      <c r="E30" s="130">
        <v>9.5263591433278432</v>
      </c>
      <c r="F30" s="91">
        <v>4195.6112026359142</v>
      </c>
      <c r="G30" s="91">
        <v>92</v>
      </c>
      <c r="H30" s="91">
        <v>0</v>
      </c>
      <c r="I30" s="91">
        <v>0</v>
      </c>
      <c r="J30" s="91">
        <v>4.0087863811092808</v>
      </c>
      <c r="K30" s="188">
        <v>1.8328281164195501</v>
      </c>
    </row>
    <row r="31" spans="1:23" x14ac:dyDescent="0.25">
      <c r="B31" s="13"/>
      <c r="C31" s="12" t="s">
        <v>23</v>
      </c>
      <c r="D31" s="68">
        <v>3.6584622489032554</v>
      </c>
      <c r="E31" s="130">
        <v>9.5</v>
      </c>
      <c r="F31" s="91">
        <v>4098.6054029092584</v>
      </c>
      <c r="G31" s="91">
        <v>92</v>
      </c>
      <c r="H31" s="91">
        <v>0</v>
      </c>
      <c r="I31" s="91">
        <v>0</v>
      </c>
      <c r="J31" s="91">
        <v>4</v>
      </c>
      <c r="K31" s="188">
        <v>1.8200000000000003</v>
      </c>
    </row>
    <row r="32" spans="1:23" x14ac:dyDescent="0.25">
      <c r="B32" s="13"/>
      <c r="C32" s="12" t="s">
        <v>385</v>
      </c>
      <c r="D32" s="68">
        <v>2.4063160785390636</v>
      </c>
      <c r="E32" s="130">
        <v>9.1567348620074149</v>
      </c>
      <c r="F32" s="91">
        <v>4814.3017987093235</v>
      </c>
      <c r="G32" s="91">
        <v>47.135246464369082</v>
      </c>
      <c r="H32" s="91">
        <v>0</v>
      </c>
      <c r="I32" s="91">
        <v>0</v>
      </c>
      <c r="J32" s="91">
        <v>4.3432651379925851</v>
      </c>
      <c r="K32" s="188">
        <v>1.657635589729507</v>
      </c>
    </row>
    <row r="33" spans="1:11" x14ac:dyDescent="0.25">
      <c r="B33" s="13"/>
      <c r="C33" s="12" t="s">
        <v>427</v>
      </c>
      <c r="D33" s="68">
        <v>2.6402414486921533</v>
      </c>
      <c r="E33" s="130">
        <v>9.5</v>
      </c>
      <c r="F33" s="91">
        <v>4860</v>
      </c>
      <c r="G33" s="91">
        <v>73.8</v>
      </c>
      <c r="H33" s="91">
        <v>0</v>
      </c>
      <c r="I33" s="91">
        <v>0</v>
      </c>
      <c r="J33" s="91">
        <v>4</v>
      </c>
      <c r="K33" s="188">
        <v>0.89</v>
      </c>
    </row>
    <row r="34" spans="1:11" x14ac:dyDescent="0.25">
      <c r="B34" s="13"/>
      <c r="C34" s="12" t="s">
        <v>431</v>
      </c>
      <c r="D34" s="68">
        <v>2.6</v>
      </c>
      <c r="E34" s="130">
        <v>9.5</v>
      </c>
      <c r="F34" s="91">
        <v>4860</v>
      </c>
      <c r="G34" s="91">
        <v>73.8</v>
      </c>
      <c r="H34" s="91">
        <v>0</v>
      </c>
      <c r="I34" s="91">
        <v>0</v>
      </c>
      <c r="J34" s="91">
        <v>4</v>
      </c>
      <c r="K34" s="188">
        <v>0.89</v>
      </c>
    </row>
    <row r="35" spans="1:11" x14ac:dyDescent="0.25">
      <c r="B35" s="13"/>
      <c r="C35" s="12" t="s">
        <v>433</v>
      </c>
      <c r="D35" s="68">
        <v>2.8685534591194966</v>
      </c>
      <c r="E35" s="130">
        <v>9.5</v>
      </c>
      <c r="F35" s="91">
        <v>4860</v>
      </c>
      <c r="G35" s="91">
        <v>73.8</v>
      </c>
      <c r="H35" s="91">
        <v>0</v>
      </c>
      <c r="I35" s="91">
        <v>0</v>
      </c>
      <c r="J35" s="91">
        <v>4</v>
      </c>
      <c r="K35" s="188">
        <v>0.89</v>
      </c>
    </row>
    <row r="36" spans="1:11" x14ac:dyDescent="0.25">
      <c r="B36" s="13"/>
      <c r="C36" s="12" t="s">
        <v>402</v>
      </c>
      <c r="D36" s="68">
        <v>2.6</v>
      </c>
      <c r="E36" s="130">
        <v>9.5</v>
      </c>
      <c r="F36" s="91">
        <v>4860</v>
      </c>
      <c r="G36" s="91">
        <v>73.8</v>
      </c>
      <c r="H36" s="91">
        <v>0</v>
      </c>
      <c r="I36" s="91">
        <v>0</v>
      </c>
      <c r="J36" s="91">
        <v>4</v>
      </c>
      <c r="K36" s="188">
        <v>0.89</v>
      </c>
    </row>
    <row r="37" spans="1:11" x14ac:dyDescent="0.25">
      <c r="B37" s="13"/>
      <c r="C37" s="12" t="s">
        <v>404</v>
      </c>
      <c r="D37" s="68">
        <v>2.5131777108433737</v>
      </c>
      <c r="E37" s="130">
        <v>9.5</v>
      </c>
      <c r="F37" s="91">
        <v>4812.560240963855</v>
      </c>
      <c r="G37" s="91">
        <v>73.350075301204825</v>
      </c>
      <c r="H37" s="91">
        <v>0</v>
      </c>
      <c r="I37" s="91">
        <v>0</v>
      </c>
      <c r="J37" s="91">
        <v>3.9698795180722892</v>
      </c>
      <c r="K37" s="188">
        <v>0.89</v>
      </c>
    </row>
    <row r="38" spans="1:11" ht="15.75" thickBot="1" x14ac:dyDescent="0.3">
      <c r="B38" s="13"/>
      <c r="C38" s="16" t="s">
        <v>465</v>
      </c>
      <c r="D38" s="189">
        <v>3.7</v>
      </c>
      <c r="E38" s="190">
        <v>9.5</v>
      </c>
      <c r="F38" s="191">
        <v>4320</v>
      </c>
      <c r="G38" s="191">
        <v>92</v>
      </c>
      <c r="H38" s="191">
        <v>0</v>
      </c>
      <c r="I38" s="191">
        <v>0</v>
      </c>
      <c r="J38" s="191">
        <v>4</v>
      </c>
      <c r="K38" s="192">
        <v>1.8200000000000003</v>
      </c>
    </row>
    <row r="39" spans="1:11" ht="18" thickBot="1" x14ac:dyDescent="0.3">
      <c r="B39" s="197" t="s">
        <v>255</v>
      </c>
      <c r="C39" s="197" t="s">
        <v>485</v>
      </c>
      <c r="D39" s="98"/>
      <c r="E39" s="99"/>
      <c r="F39" s="167"/>
      <c r="G39" s="167"/>
      <c r="H39" s="167"/>
      <c r="I39" s="167"/>
      <c r="J39" s="167"/>
      <c r="K39" s="99"/>
    </row>
    <row r="40" spans="1:11" x14ac:dyDescent="0.25">
      <c r="A40" s="238" t="s">
        <v>7</v>
      </c>
      <c r="B40" s="239">
        <v>33.469244640861248</v>
      </c>
      <c r="C40" s="240">
        <v>34.765105138494597</v>
      </c>
      <c r="D40" s="98"/>
      <c r="E40" s="99"/>
      <c r="F40" s="167"/>
      <c r="G40" s="167"/>
      <c r="H40" s="167"/>
      <c r="I40" s="167"/>
      <c r="J40" s="167"/>
      <c r="K40" s="99"/>
    </row>
    <row r="41" spans="1:11" x14ac:dyDescent="0.25">
      <c r="A41" s="153" t="s">
        <v>15</v>
      </c>
      <c r="B41" s="241">
        <v>27.016462535362052</v>
      </c>
      <c r="C41" s="242">
        <v>28.062484546346585</v>
      </c>
      <c r="D41" s="98"/>
      <c r="E41" s="99"/>
      <c r="F41" s="167"/>
      <c r="G41" s="167"/>
      <c r="H41" s="167"/>
      <c r="I41" s="167"/>
      <c r="J41" s="167"/>
      <c r="K41" s="99"/>
    </row>
    <row r="42" spans="1:11" x14ac:dyDescent="0.25">
      <c r="A42" s="153" t="s">
        <v>8</v>
      </c>
      <c r="B42" s="241">
        <v>33.871112465205833</v>
      </c>
      <c r="C42" s="242">
        <v>35.182532460653547</v>
      </c>
      <c r="D42" s="98"/>
      <c r="E42" s="99"/>
      <c r="F42" s="167"/>
      <c r="G42" s="167"/>
      <c r="H42" s="167"/>
      <c r="I42" s="167"/>
      <c r="J42" s="167"/>
      <c r="K42" s="99"/>
    </row>
    <row r="43" spans="1:11" x14ac:dyDescent="0.25">
      <c r="A43" s="153" t="s">
        <v>270</v>
      </c>
      <c r="B43" s="241">
        <v>18.843265630792722</v>
      </c>
      <c r="C43" s="242">
        <v>19.572838223164442</v>
      </c>
      <c r="D43" s="98"/>
      <c r="E43" s="99"/>
      <c r="F43" s="167"/>
      <c r="G43" s="167"/>
      <c r="H43" s="167"/>
      <c r="I43" s="167"/>
      <c r="J43" s="167"/>
      <c r="K43" s="99"/>
    </row>
    <row r="44" spans="1:11" x14ac:dyDescent="0.25">
      <c r="A44" s="153" t="s">
        <v>291</v>
      </c>
      <c r="B44" s="241">
        <v>25.572814716559549</v>
      </c>
      <c r="C44" s="242">
        <v>26.562941645328905</v>
      </c>
      <c r="D44" s="98"/>
      <c r="E44" s="99"/>
      <c r="F44" s="167"/>
      <c r="G44" s="167"/>
      <c r="H44" s="167"/>
      <c r="I44" s="167"/>
      <c r="J44" s="167"/>
      <c r="K44" s="99"/>
    </row>
    <row r="45" spans="1:11" x14ac:dyDescent="0.25">
      <c r="A45" s="153" t="s">
        <v>316</v>
      </c>
      <c r="B45" s="241">
        <v>23.074646377031719</v>
      </c>
      <c r="C45" s="242">
        <v>23.968049352142437</v>
      </c>
      <c r="D45" s="98"/>
      <c r="E45" s="99"/>
      <c r="F45" s="167"/>
      <c r="G45" s="167"/>
      <c r="H45" s="167"/>
      <c r="I45" s="167"/>
      <c r="J45" s="167"/>
      <c r="K45" s="99"/>
    </row>
    <row r="46" spans="1:11" x14ac:dyDescent="0.25">
      <c r="A46" s="153" t="s">
        <v>23</v>
      </c>
      <c r="B46" s="241">
        <v>23.05854492881884</v>
      </c>
      <c r="C46" s="242">
        <v>23.951324488883365</v>
      </c>
      <c r="D46" s="98"/>
      <c r="E46" s="99"/>
      <c r="F46" s="167"/>
      <c r="G46" s="167"/>
      <c r="H46" s="167"/>
      <c r="I46" s="167"/>
      <c r="J46" s="167"/>
      <c r="K46" s="99"/>
    </row>
    <row r="47" spans="1:11" x14ac:dyDescent="0.25">
      <c r="A47" s="153" t="s">
        <v>385</v>
      </c>
      <c r="B47" s="241">
        <v>23.534742731424849</v>
      </c>
      <c r="C47" s="242">
        <v>24.445959693590275</v>
      </c>
      <c r="D47" s="98"/>
      <c r="E47" s="99"/>
      <c r="F47" s="167"/>
      <c r="G47" s="167"/>
      <c r="H47" s="167"/>
      <c r="I47" s="167"/>
      <c r="J47" s="167"/>
      <c r="K47" s="99"/>
    </row>
    <row r="48" spans="1:11" x14ac:dyDescent="0.25">
      <c r="A48" s="153" t="s">
        <v>427</v>
      </c>
      <c r="B48" s="241">
        <v>27.10556699090791</v>
      </c>
      <c r="C48" s="242">
        <v>28.155038943632807</v>
      </c>
      <c r="D48" s="98"/>
      <c r="E48" s="99"/>
      <c r="F48" s="167"/>
      <c r="G48" s="167"/>
      <c r="H48" s="167"/>
      <c r="I48" s="167"/>
      <c r="J48" s="167"/>
      <c r="K48" s="99"/>
    </row>
    <row r="49" spans="1:11" x14ac:dyDescent="0.25">
      <c r="A49" s="104" t="s">
        <v>431</v>
      </c>
      <c r="B49" s="241">
        <v>27.435457933893467</v>
      </c>
      <c r="C49" s="242">
        <v>28.497702587231394</v>
      </c>
      <c r="D49" s="98"/>
      <c r="E49" s="99"/>
      <c r="F49" s="167"/>
      <c r="G49" s="167"/>
      <c r="H49" s="167"/>
      <c r="I49" s="167"/>
      <c r="J49" s="167"/>
      <c r="K49" s="99"/>
    </row>
    <row r="50" spans="1:11" x14ac:dyDescent="0.25">
      <c r="A50" s="153" t="s">
        <v>433</v>
      </c>
      <c r="B50" s="241">
        <v>25.40913699188858</v>
      </c>
      <c r="C50" s="242">
        <v>26.392926654907857</v>
      </c>
      <c r="D50" s="98"/>
      <c r="E50" s="99"/>
      <c r="F50" s="167"/>
      <c r="G50" s="167"/>
      <c r="H50" s="167"/>
      <c r="I50" s="167"/>
      <c r="J50" s="167"/>
      <c r="K50" s="99"/>
    </row>
    <row r="51" spans="1:11" x14ac:dyDescent="0.25">
      <c r="A51" s="104" t="s">
        <v>402</v>
      </c>
      <c r="B51" s="241">
        <v>27.435457933893467</v>
      </c>
      <c r="C51" s="242">
        <v>28.497702587231394</v>
      </c>
      <c r="D51" s="98"/>
      <c r="E51" s="99"/>
      <c r="F51" s="167"/>
      <c r="G51" s="167"/>
      <c r="H51" s="167"/>
      <c r="I51" s="167"/>
      <c r="J51" s="167"/>
      <c r="K51" s="99"/>
    </row>
    <row r="52" spans="1:11" x14ac:dyDescent="0.25">
      <c r="A52" s="153" t="s">
        <v>404</v>
      </c>
      <c r="B52" s="241">
        <v>28.021284749714596</v>
      </c>
      <c r="C52" s="242">
        <v>29.106211415665086</v>
      </c>
      <c r="D52" s="98"/>
      <c r="E52" s="99"/>
      <c r="F52" s="167"/>
      <c r="G52" s="167"/>
      <c r="H52" s="167"/>
      <c r="I52" s="167"/>
      <c r="J52" s="167"/>
      <c r="K52" s="99"/>
    </row>
    <row r="53" spans="1:11" x14ac:dyDescent="0.25">
      <c r="A53" s="104" t="s">
        <v>456</v>
      </c>
      <c r="B53" s="241">
        <v>23.086868497851732</v>
      </c>
      <c r="C53" s="242">
        <v>23.980744688409583</v>
      </c>
      <c r="D53" s="98"/>
      <c r="E53" s="99"/>
      <c r="F53" s="167"/>
      <c r="G53" s="167"/>
      <c r="H53" s="167"/>
      <c r="I53" s="167"/>
      <c r="J53" s="167"/>
      <c r="K53" s="99"/>
    </row>
    <row r="54" spans="1:11" ht="15.75" thickBot="1" x14ac:dyDescent="0.3">
      <c r="A54" s="243" t="s">
        <v>254</v>
      </c>
      <c r="B54" s="105">
        <v>29</v>
      </c>
      <c r="C54" s="235">
        <v>30</v>
      </c>
      <c r="D54" s="98"/>
      <c r="E54" s="99"/>
      <c r="F54" s="167"/>
      <c r="G54" s="167"/>
      <c r="H54" s="167"/>
      <c r="I54" s="167"/>
      <c r="J54" s="167"/>
      <c r="K54" s="99"/>
    </row>
    <row r="55" spans="1:11" x14ac:dyDescent="0.25">
      <c r="A55" s="6"/>
      <c r="B55" s="34"/>
      <c r="C55" s="136"/>
      <c r="D55" s="98"/>
      <c r="E55" s="99"/>
      <c r="F55" s="167"/>
      <c r="G55" s="167"/>
      <c r="H55" s="167"/>
      <c r="I55" s="167"/>
      <c r="J55" s="167"/>
      <c r="K55" s="99"/>
    </row>
    <row r="56" spans="1:11" ht="15.75" thickBot="1" x14ac:dyDescent="0.3">
      <c r="A56" s="83"/>
      <c r="B56" s="83"/>
      <c r="C56" s="4"/>
      <c r="D56" s="185"/>
      <c r="E56" s="186"/>
      <c r="F56" s="187"/>
      <c r="G56" s="187"/>
      <c r="H56" s="187"/>
      <c r="I56" s="187"/>
      <c r="J56" s="187"/>
      <c r="K56" s="186"/>
    </row>
    <row r="57" spans="1:11" ht="18.75" thickBot="1" x14ac:dyDescent="0.3">
      <c r="A57" s="90" t="s">
        <v>290</v>
      </c>
      <c r="C57" s="179" t="s">
        <v>0</v>
      </c>
      <c r="D57" s="180" t="s">
        <v>280</v>
      </c>
      <c r="E57" s="181" t="s">
        <v>289</v>
      </c>
      <c r="F57" s="182" t="s">
        <v>281</v>
      </c>
      <c r="G57" s="182" t="s">
        <v>288</v>
      </c>
      <c r="H57" s="182" t="s">
        <v>286</v>
      </c>
      <c r="I57" s="182" t="s">
        <v>287</v>
      </c>
      <c r="J57" s="182" t="s">
        <v>282</v>
      </c>
      <c r="K57" s="184" t="s">
        <v>283</v>
      </c>
    </row>
    <row r="58" spans="1:11" ht="18" x14ac:dyDescent="0.25">
      <c r="B58" s="6"/>
      <c r="C58" s="3"/>
      <c r="D58" s="96" t="s">
        <v>273</v>
      </c>
      <c r="E58" s="95" t="s">
        <v>274</v>
      </c>
      <c r="F58" s="168" t="s">
        <v>275</v>
      </c>
      <c r="G58" s="168" t="s">
        <v>276</v>
      </c>
      <c r="H58" s="168" t="s">
        <v>277</v>
      </c>
      <c r="I58" s="168" t="s">
        <v>278</v>
      </c>
      <c r="J58" s="168" t="s">
        <v>205</v>
      </c>
      <c r="K58" s="132" t="s">
        <v>279</v>
      </c>
    </row>
    <row r="59" spans="1:11" x14ac:dyDescent="0.25">
      <c r="B59" s="6"/>
      <c r="C59" s="12" t="s">
        <v>272</v>
      </c>
      <c r="D59" s="170">
        <v>3.4473844076949041</v>
      </c>
      <c r="E59" s="111">
        <v>14.010124873439082</v>
      </c>
      <c r="F59" s="172">
        <v>6422.3089476087425</v>
      </c>
      <c r="G59" s="172">
        <v>24</v>
      </c>
      <c r="H59" s="91">
        <v>27</v>
      </c>
      <c r="I59" s="91">
        <v>54</v>
      </c>
      <c r="J59" s="172">
        <v>70.354370570367877</v>
      </c>
      <c r="K59" s="173">
        <v>1.3044472662841715</v>
      </c>
    </row>
    <row r="60" spans="1:11" x14ac:dyDescent="0.25">
      <c r="B60" s="6"/>
      <c r="C60" s="12" t="s">
        <v>23</v>
      </c>
      <c r="D60" s="170">
        <v>4.0952380952380949</v>
      </c>
      <c r="E60" s="111">
        <v>15.666666666666666</v>
      </c>
      <c r="F60" s="172">
        <v>5434.2857142857147</v>
      </c>
      <c r="G60" s="172">
        <v>18</v>
      </c>
      <c r="H60" s="172">
        <v>92</v>
      </c>
      <c r="I60" s="172">
        <v>0</v>
      </c>
      <c r="J60" s="172">
        <v>77.61904761904762</v>
      </c>
      <c r="K60" s="173">
        <v>2.4715000000000003</v>
      </c>
    </row>
    <row r="61" spans="1:11" x14ac:dyDescent="0.25">
      <c r="B61" s="6"/>
      <c r="C61" s="12" t="s">
        <v>15</v>
      </c>
      <c r="D61" s="170">
        <v>3.97721908728027</v>
      </c>
      <c r="E61" s="111">
        <v>14.584021940707503</v>
      </c>
      <c r="F61" s="172">
        <v>5503.8593954698308</v>
      </c>
      <c r="G61" s="172">
        <v>26.830373179271199</v>
      </c>
      <c r="H61" s="172">
        <v>82.016161345604644</v>
      </c>
      <c r="I61" s="172">
        <v>80.119039161148407</v>
      </c>
      <c r="J61" s="172">
        <v>79.007592000047808</v>
      </c>
      <c r="K61" s="173">
        <v>2.2350314151703214</v>
      </c>
    </row>
    <row r="62" spans="1:11" x14ac:dyDescent="0.25">
      <c r="B62" s="6"/>
      <c r="C62" s="12" t="s">
        <v>316</v>
      </c>
      <c r="D62" s="170">
        <v>3.2224719101123593</v>
      </c>
      <c r="E62" s="111">
        <v>15.00561797752809</v>
      </c>
      <c r="F62" s="172">
        <v>4749.5730337078658</v>
      </c>
      <c r="G62" s="172">
        <v>18.865168539325843</v>
      </c>
      <c r="H62" s="172">
        <v>109.11235955056179</v>
      </c>
      <c r="I62" s="172">
        <v>0.3707865168539326</v>
      </c>
      <c r="J62" s="172">
        <v>71.629213483146074</v>
      </c>
      <c r="K62" s="173">
        <v>1.443583146067416</v>
      </c>
    </row>
    <row r="63" spans="1:11" ht="15.75" thickBot="1" x14ac:dyDescent="0.3">
      <c r="B63" s="4"/>
      <c r="C63" s="16" t="s">
        <v>385</v>
      </c>
      <c r="D63" s="193">
        <v>4.0999999999999996</v>
      </c>
      <c r="E63" s="194">
        <v>16.5</v>
      </c>
      <c r="F63" s="195">
        <v>3600</v>
      </c>
      <c r="G63" s="195">
        <v>15</v>
      </c>
      <c r="H63" s="195">
        <v>45</v>
      </c>
      <c r="I63" s="195">
        <v>90</v>
      </c>
      <c r="J63" s="195">
        <v>75</v>
      </c>
      <c r="K63" s="196">
        <v>1.0474999999999999</v>
      </c>
    </row>
    <row r="64" spans="1:11" ht="18" thickBot="1" x14ac:dyDescent="0.3">
      <c r="A64" s="3"/>
      <c r="B64" s="197" t="s">
        <v>255</v>
      </c>
      <c r="C64" s="197" t="s">
        <v>485</v>
      </c>
      <c r="D64" s="4"/>
    </row>
    <row r="65" spans="1:3" x14ac:dyDescent="0.25">
      <c r="A65" s="244" t="s">
        <v>272</v>
      </c>
      <c r="B65" s="239">
        <v>17.034262092856306</v>
      </c>
      <c r="C65" s="240">
        <v>17.693793779015614</v>
      </c>
    </row>
    <row r="66" spans="1:3" x14ac:dyDescent="0.25">
      <c r="A66" s="104" t="s">
        <v>23</v>
      </c>
      <c r="B66" s="241">
        <v>13.592387353702824</v>
      </c>
      <c r="C66" s="242">
        <v>14.118656710217985</v>
      </c>
    </row>
    <row r="67" spans="1:3" x14ac:dyDescent="0.25">
      <c r="A67" s="153" t="s">
        <v>15</v>
      </c>
      <c r="B67" s="241">
        <v>15.625007662610034</v>
      </c>
      <c r="C67" s="242">
        <v>16.229975908008527</v>
      </c>
    </row>
    <row r="68" spans="1:3" x14ac:dyDescent="0.25">
      <c r="A68" s="153" t="s">
        <v>316</v>
      </c>
      <c r="B68" s="241">
        <v>15.793980962833583</v>
      </c>
      <c r="C68" s="242">
        <v>16.405491507804832</v>
      </c>
    </row>
    <row r="69" spans="1:3" x14ac:dyDescent="0.25">
      <c r="A69" s="104" t="s">
        <v>385</v>
      </c>
      <c r="B69" s="241">
        <v>11.072213406469201</v>
      </c>
      <c r="C69" s="242">
        <v>11.500906797335061</v>
      </c>
    </row>
    <row r="70" spans="1:3" ht="15.75" thickBot="1" x14ac:dyDescent="0.3">
      <c r="A70" s="21" t="s">
        <v>254</v>
      </c>
      <c r="B70" s="105">
        <v>19</v>
      </c>
      <c r="C70" s="235" t="s">
        <v>483</v>
      </c>
    </row>
    <row r="73" spans="1:3" x14ac:dyDescent="0.25">
      <c r="A73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Sunflower</vt:lpstr>
      <vt:lpstr>Rapeseed</vt:lpstr>
      <vt:lpstr>Soy</vt:lpstr>
      <vt:lpstr>Final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Duca</dc:creator>
  <cp:lastModifiedBy>Panvini</cp:lastModifiedBy>
  <cp:lastPrinted>2012-11-15T14:48:05Z</cp:lastPrinted>
  <dcterms:created xsi:type="dcterms:W3CDTF">2012-11-15T13:54:43Z</dcterms:created>
  <dcterms:modified xsi:type="dcterms:W3CDTF">2013-07-12T11:10:45Z</dcterms:modified>
</cp:coreProperties>
</file>